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pear\Downloads\"/>
    </mc:Choice>
  </mc:AlternateContent>
  <xr:revisionPtr revIDLastSave="0" documentId="13_ncr:1_{60B9638F-65A1-4F22-A1A3-7B7F0DAB495E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Instructions" sheetId="6" state="hidden" r:id="rId1"/>
    <sheet name="Order Form (revised)" sheetId="1" r:id="rId2"/>
    <sheet name="priceSheet" sheetId="5" state="hidden" r:id="rId3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ceBook">priceTable[]</definedName>
    <definedName name="_xlnm.Print_Area" localSheetId="1">'Order Form (revised)'!$A$1:$K$69</definedName>
    <definedName name="_xlnm.Print_Area" localSheetId="2">priceTable[#All]</definedName>
    <definedName name="_xlnm.Print_Titles" localSheetId="2">priceSheet!$1:$1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K45" i="1"/>
  <c r="K46" i="1"/>
  <c r="K22" i="1"/>
  <c r="K13" i="1"/>
  <c r="C65" i="1"/>
  <c r="E66" i="1"/>
  <c r="E67" i="1"/>
  <c r="E20" i="1"/>
  <c r="C47" i="1"/>
  <c r="E51" i="1"/>
  <c r="N3" i="5"/>
  <c r="O3" i="5" s="1"/>
  <c r="N4" i="5"/>
  <c r="N5" i="5"/>
  <c r="N6" i="5"/>
  <c r="O6" i="5" s="1"/>
  <c r="N7" i="5"/>
  <c r="O7" i="5" s="1"/>
  <c r="N8" i="5"/>
  <c r="N9" i="5"/>
  <c r="N10" i="5"/>
  <c r="N11" i="5"/>
  <c r="N12" i="5"/>
  <c r="N13" i="5"/>
  <c r="O13" i="5" s="1"/>
  <c r="N14" i="5"/>
  <c r="N15" i="5"/>
  <c r="N16" i="5"/>
  <c r="N17" i="5"/>
  <c r="N18" i="5"/>
  <c r="O18" i="5" s="1"/>
  <c r="N19" i="5"/>
  <c r="O19" i="5" s="1"/>
  <c r="N20" i="5"/>
  <c r="N21" i="5"/>
  <c r="N22" i="5"/>
  <c r="N23" i="5"/>
  <c r="N24" i="5"/>
  <c r="N25" i="5"/>
  <c r="O25" i="5" s="1"/>
  <c r="N26" i="5"/>
  <c r="N27" i="5"/>
  <c r="N28" i="5"/>
  <c r="N29" i="5"/>
  <c r="N30" i="5"/>
  <c r="O30" i="5" s="1"/>
  <c r="N31" i="5"/>
  <c r="O31" i="5" s="1"/>
  <c r="N32" i="5"/>
  <c r="N33" i="5"/>
  <c r="N34" i="5"/>
  <c r="N35" i="5"/>
  <c r="N36" i="5"/>
  <c r="N37" i="5"/>
  <c r="O37" i="5" s="1"/>
  <c r="N38" i="5"/>
  <c r="N39" i="5"/>
  <c r="N40" i="5"/>
  <c r="N41" i="5"/>
  <c r="N42" i="5"/>
  <c r="O42" i="5" s="1"/>
  <c r="N43" i="5"/>
  <c r="O43" i="5" s="1"/>
  <c r="N44" i="5"/>
  <c r="N45" i="5"/>
  <c r="N46" i="5"/>
  <c r="N47" i="5"/>
  <c r="N48" i="5"/>
  <c r="N49" i="5"/>
  <c r="O49" i="5" s="1"/>
  <c r="N50" i="5"/>
  <c r="N51" i="5"/>
  <c r="N52" i="5"/>
  <c r="N53" i="5"/>
  <c r="N54" i="5"/>
  <c r="O54" i="5" s="1"/>
  <c r="N55" i="5"/>
  <c r="O55" i="5" s="1"/>
  <c r="N56" i="5"/>
  <c r="N57" i="5"/>
  <c r="N58" i="5"/>
  <c r="N59" i="5"/>
  <c r="N60" i="5"/>
  <c r="N61" i="5"/>
  <c r="O61" i="5" s="1"/>
  <c r="N62" i="5"/>
  <c r="N63" i="5"/>
  <c r="N64" i="5"/>
  <c r="N65" i="5"/>
  <c r="N66" i="5"/>
  <c r="O66" i="5" s="1"/>
  <c r="N67" i="5"/>
  <c r="O67" i="5" s="1"/>
  <c r="N68" i="5"/>
  <c r="N69" i="5"/>
  <c r="N70" i="5"/>
  <c r="N71" i="5"/>
  <c r="N72" i="5"/>
  <c r="N73" i="5"/>
  <c r="O73" i="5" s="1"/>
  <c r="N74" i="5"/>
  <c r="N75" i="5"/>
  <c r="N76" i="5"/>
  <c r="N77" i="5"/>
  <c r="N78" i="5"/>
  <c r="O78" i="5" s="1"/>
  <c r="N79" i="5"/>
  <c r="O79" i="5" s="1"/>
  <c r="N80" i="5"/>
  <c r="N81" i="5"/>
  <c r="N82" i="5"/>
  <c r="N83" i="5"/>
  <c r="N84" i="5"/>
  <c r="N85" i="5"/>
  <c r="O85" i="5" s="1"/>
  <c r="N86" i="5"/>
  <c r="N87" i="5"/>
  <c r="N88" i="5"/>
  <c r="N89" i="5"/>
  <c r="N90" i="5"/>
  <c r="O90" i="5" s="1"/>
  <c r="N91" i="5"/>
  <c r="O91" i="5" s="1"/>
  <c r="N92" i="5"/>
  <c r="N93" i="5"/>
  <c r="N94" i="5"/>
  <c r="N95" i="5"/>
  <c r="O95" i="5" s="1"/>
  <c r="N96" i="5"/>
  <c r="O96" i="5" s="1"/>
  <c r="N97" i="5"/>
  <c r="O97" i="5" s="1"/>
  <c r="N98" i="5"/>
  <c r="O98" i="5" s="1"/>
  <c r="N99" i="5"/>
  <c r="O99" i="5" s="1"/>
  <c r="N100" i="5"/>
  <c r="N101" i="5"/>
  <c r="O101" i="5" s="1"/>
  <c r="N102" i="5"/>
  <c r="O102" i="5" s="1"/>
  <c r="N103" i="5"/>
  <c r="O103" i="5" s="1"/>
  <c r="N104" i="5"/>
  <c r="N105" i="5"/>
  <c r="N106" i="5"/>
  <c r="O106" i="5" s="1"/>
  <c r="N107" i="5"/>
  <c r="O107" i="5" s="1"/>
  <c r="N108" i="5"/>
  <c r="O108" i="5" s="1"/>
  <c r="N109" i="5"/>
  <c r="O109" i="5" s="1"/>
  <c r="N110" i="5"/>
  <c r="N2" i="5"/>
  <c r="O2" i="5" s="1"/>
  <c r="O4" i="5"/>
  <c r="O5" i="5"/>
  <c r="O8" i="5"/>
  <c r="O9" i="5"/>
  <c r="O10" i="5"/>
  <c r="O11" i="5"/>
  <c r="O12" i="5"/>
  <c r="O14" i="5"/>
  <c r="O15" i="5"/>
  <c r="O16" i="5"/>
  <c r="O17" i="5"/>
  <c r="O20" i="5"/>
  <c r="O21" i="5"/>
  <c r="O22" i="5"/>
  <c r="O23" i="5"/>
  <c r="O24" i="5"/>
  <c r="O26" i="5"/>
  <c r="O27" i="5"/>
  <c r="O28" i="5"/>
  <c r="O29" i="5"/>
  <c r="O32" i="5"/>
  <c r="O33" i="5"/>
  <c r="O34" i="5"/>
  <c r="O35" i="5"/>
  <c r="O36" i="5"/>
  <c r="O38" i="5"/>
  <c r="O39" i="5"/>
  <c r="O40" i="5"/>
  <c r="O41" i="5"/>
  <c r="O44" i="5"/>
  <c r="O45" i="5"/>
  <c r="O46" i="5"/>
  <c r="O47" i="5"/>
  <c r="O48" i="5"/>
  <c r="O50" i="5"/>
  <c r="O51" i="5"/>
  <c r="O52" i="5"/>
  <c r="O53" i="5"/>
  <c r="O56" i="5"/>
  <c r="O57" i="5"/>
  <c r="O58" i="5"/>
  <c r="O59" i="5"/>
  <c r="O60" i="5"/>
  <c r="O62" i="5"/>
  <c r="O63" i="5"/>
  <c r="O64" i="5"/>
  <c r="O65" i="5"/>
  <c r="O68" i="5"/>
  <c r="O69" i="5"/>
  <c r="O70" i="5"/>
  <c r="O71" i="5"/>
  <c r="O72" i="5"/>
  <c r="O74" i="5"/>
  <c r="O75" i="5"/>
  <c r="O76" i="5"/>
  <c r="O77" i="5"/>
  <c r="O80" i="5"/>
  <c r="O81" i="5"/>
  <c r="O82" i="5"/>
  <c r="O83" i="5"/>
  <c r="O84" i="5"/>
  <c r="O86" i="5"/>
  <c r="O87" i="5"/>
  <c r="O88" i="5"/>
  <c r="O89" i="5"/>
  <c r="O92" i="5"/>
  <c r="O93" i="5"/>
  <c r="O94" i="5"/>
  <c r="O100" i="5"/>
  <c r="O104" i="5"/>
  <c r="O105" i="5"/>
  <c r="O110" i="5"/>
  <c r="H90" i="5"/>
  <c r="H97" i="5"/>
  <c r="F2" i="5"/>
  <c r="H2" i="5" s="1"/>
  <c r="F3" i="5"/>
  <c r="H3" i="5" s="1"/>
  <c r="F4" i="5"/>
  <c r="H4" i="5" s="1"/>
  <c r="F5" i="5"/>
  <c r="H5" i="5" s="1"/>
  <c r="F6" i="5"/>
  <c r="H6" i="5" s="1"/>
  <c r="F7" i="5"/>
  <c r="H7" i="5" s="1"/>
  <c r="F8" i="5"/>
  <c r="H8" i="5" s="1"/>
  <c r="F9" i="5"/>
  <c r="H9" i="5" s="1"/>
  <c r="F10" i="5"/>
  <c r="H10" i="5" s="1"/>
  <c r="F11" i="5"/>
  <c r="H11" i="5" s="1"/>
  <c r="F12" i="5"/>
  <c r="H12" i="5" s="1"/>
  <c r="F13" i="5"/>
  <c r="H13" i="5" s="1"/>
  <c r="F14" i="5"/>
  <c r="H14" i="5" s="1"/>
  <c r="F15" i="5"/>
  <c r="H15" i="5" s="1"/>
  <c r="F16" i="5"/>
  <c r="H16" i="5" s="1"/>
  <c r="F17" i="5"/>
  <c r="H17" i="5" s="1"/>
  <c r="F18" i="5"/>
  <c r="H18" i="5" s="1"/>
  <c r="F19" i="5"/>
  <c r="H19" i="5" s="1"/>
  <c r="F20" i="5"/>
  <c r="H20" i="5" s="1"/>
  <c r="F21" i="5"/>
  <c r="H21" i="5" s="1"/>
  <c r="F22" i="5"/>
  <c r="H22" i="5" s="1"/>
  <c r="F23" i="5"/>
  <c r="H23" i="5" s="1"/>
  <c r="F24" i="5"/>
  <c r="H24" i="5" s="1"/>
  <c r="F25" i="5"/>
  <c r="H25" i="5" s="1"/>
  <c r="F26" i="5"/>
  <c r="H26" i="5" s="1"/>
  <c r="F27" i="5"/>
  <c r="H27" i="5" s="1"/>
  <c r="F28" i="5"/>
  <c r="H28" i="5" s="1"/>
  <c r="F29" i="5"/>
  <c r="H29" i="5" s="1"/>
  <c r="F30" i="5"/>
  <c r="H30" i="5" s="1"/>
  <c r="F31" i="5"/>
  <c r="H31" i="5" s="1"/>
  <c r="F32" i="5"/>
  <c r="H32" i="5" s="1"/>
  <c r="F33" i="5"/>
  <c r="H33" i="5" s="1"/>
  <c r="F34" i="5"/>
  <c r="H34" i="5" s="1"/>
  <c r="F35" i="5"/>
  <c r="H35" i="5" s="1"/>
  <c r="F36" i="5"/>
  <c r="H36" i="5" s="1"/>
  <c r="F37" i="5"/>
  <c r="H37" i="5" s="1"/>
  <c r="F38" i="5"/>
  <c r="H38" i="5" s="1"/>
  <c r="F39" i="5"/>
  <c r="H39" i="5" s="1"/>
  <c r="F40" i="5"/>
  <c r="H40" i="5" s="1"/>
  <c r="F41" i="5"/>
  <c r="H41" i="5" s="1"/>
  <c r="F42" i="5"/>
  <c r="H42" i="5" s="1"/>
  <c r="F43" i="5"/>
  <c r="H43" i="5" s="1"/>
  <c r="F44" i="5"/>
  <c r="H44" i="5" s="1"/>
  <c r="F45" i="5"/>
  <c r="H45" i="5" s="1"/>
  <c r="F46" i="5"/>
  <c r="H46" i="5" s="1"/>
  <c r="F47" i="5"/>
  <c r="H47" i="5" s="1"/>
  <c r="F48" i="5"/>
  <c r="H48" i="5" s="1"/>
  <c r="F49" i="5"/>
  <c r="H49" i="5" s="1"/>
  <c r="F50" i="5"/>
  <c r="H50" i="5" s="1"/>
  <c r="F51" i="5"/>
  <c r="H51" i="5" s="1"/>
  <c r="F52" i="5"/>
  <c r="H52" i="5" s="1"/>
  <c r="F53" i="5"/>
  <c r="H53" i="5" s="1"/>
  <c r="F54" i="5"/>
  <c r="H54" i="5" s="1"/>
  <c r="F55" i="5"/>
  <c r="H55" i="5" s="1"/>
  <c r="F56" i="5"/>
  <c r="H56" i="5" s="1"/>
  <c r="F57" i="5"/>
  <c r="H57" i="5" s="1"/>
  <c r="F58" i="5"/>
  <c r="H58" i="5" s="1"/>
  <c r="F59" i="5"/>
  <c r="H59" i="5" s="1"/>
  <c r="F60" i="5"/>
  <c r="H60" i="5" s="1"/>
  <c r="F61" i="5"/>
  <c r="H61" i="5" s="1"/>
  <c r="F62" i="5"/>
  <c r="H62" i="5" s="1"/>
  <c r="F63" i="5"/>
  <c r="H63" i="5" s="1"/>
  <c r="F64" i="5"/>
  <c r="H64" i="5" s="1"/>
  <c r="F65" i="5"/>
  <c r="H65" i="5" s="1"/>
  <c r="F66" i="5"/>
  <c r="H66" i="5" s="1"/>
  <c r="F67" i="5"/>
  <c r="H67" i="5" s="1"/>
  <c r="F68" i="5"/>
  <c r="H68" i="5" s="1"/>
  <c r="F69" i="5"/>
  <c r="H69" i="5" s="1"/>
  <c r="F70" i="5"/>
  <c r="H70" i="5" s="1"/>
  <c r="F71" i="5"/>
  <c r="H71" i="5" s="1"/>
  <c r="F72" i="5"/>
  <c r="H72" i="5" s="1"/>
  <c r="F73" i="5"/>
  <c r="H73" i="5" s="1"/>
  <c r="F74" i="5"/>
  <c r="H74" i="5" s="1"/>
  <c r="F75" i="5"/>
  <c r="H75" i="5" s="1"/>
  <c r="F76" i="5"/>
  <c r="H76" i="5" s="1"/>
  <c r="F77" i="5"/>
  <c r="H77" i="5" s="1"/>
  <c r="F78" i="5"/>
  <c r="H78" i="5" s="1"/>
  <c r="F79" i="5"/>
  <c r="H79" i="5" s="1"/>
  <c r="F80" i="5"/>
  <c r="H80" i="5" s="1"/>
  <c r="F81" i="5"/>
  <c r="H81" i="5" s="1"/>
  <c r="F82" i="5"/>
  <c r="H82" i="5" s="1"/>
  <c r="F83" i="5"/>
  <c r="H83" i="5" s="1"/>
  <c r="F84" i="5"/>
  <c r="H84" i="5" s="1"/>
  <c r="F85" i="5"/>
  <c r="H85" i="5" s="1"/>
  <c r="F86" i="5"/>
  <c r="H86" i="5" s="1"/>
  <c r="F87" i="5"/>
  <c r="H87" i="5" s="1"/>
  <c r="F88" i="5"/>
  <c r="H88" i="5" s="1"/>
  <c r="F89" i="5"/>
  <c r="H89" i="5" s="1"/>
  <c r="F90" i="5"/>
  <c r="F91" i="5"/>
  <c r="H91" i="5" s="1"/>
  <c r="F92" i="5"/>
  <c r="H92" i="5" s="1"/>
  <c r="F93" i="5"/>
  <c r="H93" i="5" s="1"/>
  <c r="F94" i="5"/>
  <c r="H94" i="5" s="1"/>
  <c r="F95" i="5"/>
  <c r="H95" i="5" s="1"/>
  <c r="F96" i="5"/>
  <c r="H96" i="5" s="1"/>
  <c r="F97" i="5"/>
  <c r="F98" i="5"/>
  <c r="H98" i="5" s="1"/>
  <c r="F99" i="5"/>
  <c r="H99" i="5" s="1"/>
  <c r="F100" i="5"/>
  <c r="H100" i="5" s="1"/>
  <c r="F101" i="5"/>
  <c r="H101" i="5" s="1"/>
  <c r="F102" i="5"/>
  <c r="H102" i="5" s="1"/>
  <c r="F103" i="5"/>
  <c r="H103" i="5" s="1"/>
  <c r="F104" i="5"/>
  <c r="H104" i="5" s="1"/>
  <c r="F105" i="5"/>
  <c r="H105" i="5" s="1"/>
  <c r="F106" i="5"/>
  <c r="H106" i="5" s="1"/>
  <c r="F107" i="5"/>
  <c r="H107" i="5" s="1"/>
  <c r="F108" i="5"/>
  <c r="H108" i="5" s="1"/>
  <c r="F109" i="5"/>
  <c r="H109" i="5" s="1"/>
  <c r="F110" i="5"/>
  <c r="H110" i="5" s="1"/>
  <c r="P27" i="5"/>
  <c r="R27" i="5" s="1"/>
  <c r="T27" i="5" s="1"/>
  <c r="P31" i="5"/>
  <c r="P33" i="5"/>
  <c r="R33" i="5" s="1"/>
  <c r="T33" i="5" s="1"/>
  <c r="P35" i="5"/>
  <c r="P36" i="5"/>
  <c r="R36" i="5" s="1"/>
  <c r="T36" i="5" s="1"/>
  <c r="P43" i="5"/>
  <c r="R43" i="5" s="1"/>
  <c r="T43" i="5" s="1"/>
  <c r="P45" i="5"/>
  <c r="R45" i="5" s="1"/>
  <c r="T45" i="5" s="1"/>
  <c r="P46" i="5"/>
  <c r="R46" i="5" s="1"/>
  <c r="T46" i="5" s="1"/>
  <c r="P48" i="5"/>
  <c r="R48" i="5" s="1"/>
  <c r="T48" i="5" s="1"/>
  <c r="K10" i="1"/>
  <c r="K9" i="1"/>
  <c r="R32" i="5"/>
  <c r="S32" i="5" s="1"/>
  <c r="R34" i="5"/>
  <c r="T34" i="5" s="1"/>
  <c r="R35" i="5"/>
  <c r="T35" i="5" s="1"/>
  <c r="R37" i="5"/>
  <c r="T37" i="5" s="1"/>
  <c r="R38" i="5"/>
  <c r="T38" i="5" s="1"/>
  <c r="R39" i="5"/>
  <c r="T39" i="5" s="1"/>
  <c r="R40" i="5"/>
  <c r="T40" i="5" s="1"/>
  <c r="R41" i="5"/>
  <c r="T41" i="5" s="1"/>
  <c r="R42" i="5"/>
  <c r="T42" i="5" s="1"/>
  <c r="R44" i="5"/>
  <c r="S44" i="5" s="1"/>
  <c r="R47" i="5"/>
  <c r="T47" i="5" s="1"/>
  <c r="R49" i="5"/>
  <c r="T49" i="5" s="1"/>
  <c r="R50" i="5"/>
  <c r="T50" i="5" s="1"/>
  <c r="R51" i="5"/>
  <c r="T51" i="5" s="1"/>
  <c r="R52" i="5"/>
  <c r="T52" i="5" s="1"/>
  <c r="R53" i="5"/>
  <c r="T53" i="5" s="1"/>
  <c r="R59" i="5"/>
  <c r="T59" i="5" s="1"/>
  <c r="R60" i="5"/>
  <c r="T60" i="5" s="1"/>
  <c r="R61" i="5"/>
  <c r="T61" i="5" s="1"/>
  <c r="R63" i="5"/>
  <c r="T63" i="5" s="1"/>
  <c r="R64" i="5"/>
  <c r="T64" i="5" s="1"/>
  <c r="R65" i="5"/>
  <c r="T65" i="5" s="1"/>
  <c r="R66" i="5"/>
  <c r="T66" i="5" s="1"/>
  <c r="R67" i="5"/>
  <c r="T67" i="5" s="1"/>
  <c r="R68" i="5"/>
  <c r="S68" i="5" s="1"/>
  <c r="R69" i="5"/>
  <c r="T69" i="5" s="1"/>
  <c r="R70" i="5"/>
  <c r="T70" i="5" s="1"/>
  <c r="R71" i="5"/>
  <c r="T71" i="5" s="1"/>
  <c r="R72" i="5"/>
  <c r="T72" i="5" s="1"/>
  <c r="R73" i="5"/>
  <c r="T73" i="5" s="1"/>
  <c r="R74" i="5"/>
  <c r="T74" i="5" s="1"/>
  <c r="R75" i="5"/>
  <c r="T75" i="5" s="1"/>
  <c r="R76" i="5"/>
  <c r="T76" i="5" s="1"/>
  <c r="R77" i="5"/>
  <c r="T77" i="5" s="1"/>
  <c r="R78" i="5"/>
  <c r="T78" i="5" s="1"/>
  <c r="R79" i="5"/>
  <c r="T79" i="5" s="1"/>
  <c r="R80" i="5"/>
  <c r="S80" i="5" s="1"/>
  <c r="R81" i="5"/>
  <c r="T81" i="5" s="1"/>
  <c r="R82" i="5"/>
  <c r="T82" i="5" s="1"/>
  <c r="R83" i="5"/>
  <c r="T83" i="5" s="1"/>
  <c r="R84" i="5"/>
  <c r="T84" i="5" s="1"/>
  <c r="R85" i="5"/>
  <c r="T85" i="5" s="1"/>
  <c r="R86" i="5"/>
  <c r="T86" i="5" s="1"/>
  <c r="R87" i="5"/>
  <c r="T87" i="5" s="1"/>
  <c r="R88" i="5"/>
  <c r="T88" i="5" s="1"/>
  <c r="R89" i="5"/>
  <c r="T89" i="5" s="1"/>
  <c r="R90" i="5"/>
  <c r="T90" i="5" s="1"/>
  <c r="R91" i="5"/>
  <c r="T91" i="5" s="1"/>
  <c r="R92" i="5"/>
  <c r="S92" i="5" s="1"/>
  <c r="R93" i="5"/>
  <c r="T93" i="5" s="1"/>
  <c r="R94" i="5"/>
  <c r="T94" i="5" s="1"/>
  <c r="R95" i="5"/>
  <c r="T95" i="5" s="1"/>
  <c r="R96" i="5"/>
  <c r="T96" i="5" s="1"/>
  <c r="R97" i="5"/>
  <c r="T97" i="5" s="1"/>
  <c r="R98" i="5"/>
  <c r="T98" i="5" s="1"/>
  <c r="R99" i="5"/>
  <c r="T99" i="5" s="1"/>
  <c r="R100" i="5"/>
  <c r="T100" i="5" s="1"/>
  <c r="R101" i="5"/>
  <c r="T101" i="5" s="1"/>
  <c r="R102" i="5"/>
  <c r="T102" i="5" s="1"/>
  <c r="R103" i="5"/>
  <c r="T103" i="5" s="1"/>
  <c r="R104" i="5"/>
  <c r="S104" i="5" s="1"/>
  <c r="R105" i="5"/>
  <c r="T105" i="5" s="1"/>
  <c r="R106" i="5"/>
  <c r="T106" i="5" s="1"/>
  <c r="R107" i="5"/>
  <c r="T107" i="5" s="1"/>
  <c r="R108" i="5"/>
  <c r="T108" i="5" s="1"/>
  <c r="R109" i="5"/>
  <c r="T109" i="5" s="1"/>
  <c r="R5" i="5"/>
  <c r="T5" i="5" s="1"/>
  <c r="R6" i="5"/>
  <c r="T6" i="5" s="1"/>
  <c r="R7" i="5"/>
  <c r="T7" i="5" s="1"/>
  <c r="R9" i="5"/>
  <c r="T9" i="5" s="1"/>
  <c r="R12" i="5"/>
  <c r="T12" i="5" s="1"/>
  <c r="R14" i="5"/>
  <c r="T14" i="5" s="1"/>
  <c r="R15" i="5"/>
  <c r="T15" i="5" s="1"/>
  <c r="R16" i="5"/>
  <c r="T16" i="5" s="1"/>
  <c r="R17" i="5"/>
  <c r="T17" i="5" s="1"/>
  <c r="R18" i="5"/>
  <c r="T18" i="5" s="1"/>
  <c r="R19" i="5"/>
  <c r="T19" i="5" s="1"/>
  <c r="R20" i="5"/>
  <c r="S20" i="5" s="1"/>
  <c r="R21" i="5"/>
  <c r="T21" i="5" s="1"/>
  <c r="R22" i="5"/>
  <c r="T22" i="5" s="1"/>
  <c r="R23" i="5"/>
  <c r="T23" i="5" s="1"/>
  <c r="R24" i="5"/>
  <c r="T24" i="5" s="1"/>
  <c r="R25" i="5"/>
  <c r="T25" i="5" s="1"/>
  <c r="R26" i="5"/>
  <c r="T26" i="5" s="1"/>
  <c r="R28" i="5"/>
  <c r="T28" i="5" s="1"/>
  <c r="R29" i="5"/>
  <c r="T29" i="5" s="1"/>
  <c r="R30" i="5"/>
  <c r="T30" i="5" s="1"/>
  <c r="R31" i="5"/>
  <c r="T31" i="5" s="1"/>
  <c r="R3" i="5"/>
  <c r="T3" i="5" s="1"/>
  <c r="P13" i="5"/>
  <c r="R13" i="5" s="1"/>
  <c r="T13" i="5" s="1"/>
  <c r="P55" i="5"/>
  <c r="R55" i="5" s="1"/>
  <c r="T55" i="5" s="1"/>
  <c r="P54" i="5"/>
  <c r="R54" i="5" s="1"/>
  <c r="T54" i="5" s="1"/>
  <c r="P2" i="5"/>
  <c r="R2" i="5" s="1"/>
  <c r="T2" i="5" s="1"/>
  <c r="P11" i="5"/>
  <c r="R11" i="5" s="1"/>
  <c r="T11" i="5" s="1"/>
  <c r="P8" i="5"/>
  <c r="R8" i="5" s="1"/>
  <c r="S8" i="5" s="1"/>
  <c r="P4" i="5"/>
  <c r="R4" i="5" s="1"/>
  <c r="T4" i="5" s="1"/>
  <c r="P62" i="5"/>
  <c r="R62" i="5" s="1"/>
  <c r="T62" i="5" s="1"/>
  <c r="P57" i="5"/>
  <c r="R57" i="5" s="1"/>
  <c r="T57" i="5" s="1"/>
  <c r="P56" i="5"/>
  <c r="R56" i="5" s="1"/>
  <c r="S56" i="5" s="1"/>
  <c r="P10" i="5"/>
  <c r="R10" i="5" s="1"/>
  <c r="T10" i="5" s="1"/>
  <c r="P110" i="5"/>
  <c r="R110" i="5" s="1"/>
  <c r="T110" i="5" s="1"/>
  <c r="P58" i="5"/>
  <c r="R58" i="5" s="1"/>
  <c r="T58" i="5" s="1"/>
  <c r="E60" i="1"/>
  <c r="E61" i="1"/>
  <c r="E63" i="1"/>
  <c r="K23" i="1"/>
  <c r="K24" i="1"/>
  <c r="K25" i="1"/>
  <c r="K26" i="1"/>
  <c r="K27" i="1"/>
  <c r="K28" i="1"/>
  <c r="K29" i="1"/>
  <c r="K30" i="1"/>
  <c r="K31" i="1"/>
  <c r="K32" i="1"/>
  <c r="K34" i="1"/>
  <c r="K35" i="1"/>
  <c r="K36" i="1"/>
  <c r="K37" i="1"/>
  <c r="K38" i="1"/>
  <c r="K39" i="1"/>
  <c r="K40" i="1"/>
  <c r="K41" i="1"/>
  <c r="K42" i="1"/>
  <c r="K43" i="1"/>
  <c r="K44" i="1"/>
  <c r="K47" i="1"/>
  <c r="K48" i="1"/>
  <c r="K49" i="1"/>
  <c r="K50" i="1"/>
  <c r="K51" i="1"/>
  <c r="K52" i="1"/>
  <c r="K53" i="1"/>
  <c r="K11" i="1"/>
  <c r="K14" i="1"/>
  <c r="K15" i="1"/>
  <c r="K16" i="1"/>
  <c r="K17" i="1"/>
  <c r="E57" i="1"/>
  <c r="E58" i="1"/>
  <c r="E62" i="1"/>
  <c r="E64" i="1"/>
  <c r="E65" i="1"/>
  <c r="E56" i="1"/>
  <c r="E52" i="1"/>
  <c r="E21" i="1"/>
  <c r="E22" i="1"/>
  <c r="E23" i="1"/>
  <c r="E24" i="1"/>
  <c r="K12" i="1" l="1"/>
  <c r="K19" i="1" s="1"/>
  <c r="O111" i="5"/>
  <c r="S103" i="5"/>
  <c r="U103" i="5" s="1"/>
  <c r="S91" i="5"/>
  <c r="U91" i="5" s="1"/>
  <c r="S79" i="5"/>
  <c r="U79" i="5" s="1"/>
  <c r="S67" i="5"/>
  <c r="U67" i="5" s="1"/>
  <c r="S55" i="5"/>
  <c r="U55" i="5" s="1"/>
  <c r="S43" i="5"/>
  <c r="U43" i="5" s="1"/>
  <c r="S31" i="5"/>
  <c r="U31" i="5" s="1"/>
  <c r="S19" i="5"/>
  <c r="U19" i="5" s="1"/>
  <c r="S7" i="5"/>
  <c r="U7" i="5" s="1"/>
  <c r="T104" i="5"/>
  <c r="U104" i="5" s="1"/>
  <c r="T92" i="5"/>
  <c r="U92" i="5" s="1"/>
  <c r="T80" i="5"/>
  <c r="U80" i="5" s="1"/>
  <c r="T68" i="5"/>
  <c r="U68" i="5" s="1"/>
  <c r="T56" i="5"/>
  <c r="U56" i="5" s="1"/>
  <c r="T44" i="5"/>
  <c r="U44" i="5" s="1"/>
  <c r="T32" i="5"/>
  <c r="U32" i="5" s="1"/>
  <c r="T20" i="5"/>
  <c r="U20" i="5" s="1"/>
  <c r="T8" i="5"/>
  <c r="U8" i="5" s="1"/>
  <c r="S102" i="5"/>
  <c r="U102" i="5" s="1"/>
  <c r="S90" i="5"/>
  <c r="U90" i="5" s="1"/>
  <c r="S78" i="5"/>
  <c r="U78" i="5" s="1"/>
  <c r="S66" i="5"/>
  <c r="U66" i="5" s="1"/>
  <c r="S54" i="5"/>
  <c r="U54" i="5" s="1"/>
  <c r="S42" i="5"/>
  <c r="U42" i="5" s="1"/>
  <c r="S30" i="5"/>
  <c r="U30" i="5" s="1"/>
  <c r="S18" i="5"/>
  <c r="U18" i="5" s="1"/>
  <c r="S6" i="5"/>
  <c r="U6" i="5" s="1"/>
  <c r="S101" i="5"/>
  <c r="U101" i="5" s="1"/>
  <c r="S89" i="5"/>
  <c r="U89" i="5" s="1"/>
  <c r="S77" i="5"/>
  <c r="U77" i="5" s="1"/>
  <c r="S65" i="5"/>
  <c r="U65" i="5" s="1"/>
  <c r="S53" i="5"/>
  <c r="U53" i="5" s="1"/>
  <c r="S41" i="5"/>
  <c r="U41" i="5" s="1"/>
  <c r="S29" i="5"/>
  <c r="U29" i="5" s="1"/>
  <c r="S17" i="5"/>
  <c r="U17" i="5" s="1"/>
  <c r="S5" i="5"/>
  <c r="U5" i="5" s="1"/>
  <c r="S100" i="5"/>
  <c r="U100" i="5" s="1"/>
  <c r="S88" i="5"/>
  <c r="U88" i="5" s="1"/>
  <c r="S76" i="5"/>
  <c r="U76" i="5" s="1"/>
  <c r="S64" i="5"/>
  <c r="U64" i="5" s="1"/>
  <c r="S52" i="5"/>
  <c r="U52" i="5" s="1"/>
  <c r="S40" i="5"/>
  <c r="U40" i="5" s="1"/>
  <c r="S28" i="5"/>
  <c r="U28" i="5" s="1"/>
  <c r="S16" i="5"/>
  <c r="U16" i="5" s="1"/>
  <c r="S4" i="5"/>
  <c r="U4" i="5" s="1"/>
  <c r="S2" i="5"/>
  <c r="U2" i="5" s="1"/>
  <c r="S99" i="5"/>
  <c r="U99" i="5" s="1"/>
  <c r="S87" i="5"/>
  <c r="U87" i="5" s="1"/>
  <c r="S75" i="5"/>
  <c r="U75" i="5" s="1"/>
  <c r="S63" i="5"/>
  <c r="U63" i="5" s="1"/>
  <c r="S51" i="5"/>
  <c r="U51" i="5" s="1"/>
  <c r="S39" i="5"/>
  <c r="U39" i="5" s="1"/>
  <c r="S27" i="5"/>
  <c r="U27" i="5" s="1"/>
  <c r="S15" i="5"/>
  <c r="U15" i="5" s="1"/>
  <c r="S3" i="5"/>
  <c r="U3" i="5" s="1"/>
  <c r="S110" i="5"/>
  <c r="U110" i="5" s="1"/>
  <c r="S98" i="5"/>
  <c r="U98" i="5" s="1"/>
  <c r="S86" i="5"/>
  <c r="U86" i="5" s="1"/>
  <c r="S74" i="5"/>
  <c r="U74" i="5" s="1"/>
  <c r="S62" i="5"/>
  <c r="U62" i="5" s="1"/>
  <c r="S50" i="5"/>
  <c r="U50" i="5" s="1"/>
  <c r="S38" i="5"/>
  <c r="U38" i="5" s="1"/>
  <c r="S26" i="5"/>
  <c r="U26" i="5" s="1"/>
  <c r="S14" i="5"/>
  <c r="U14" i="5" s="1"/>
  <c r="S109" i="5"/>
  <c r="U109" i="5" s="1"/>
  <c r="S97" i="5"/>
  <c r="U97" i="5" s="1"/>
  <c r="S85" i="5"/>
  <c r="U85" i="5" s="1"/>
  <c r="S73" i="5"/>
  <c r="U73" i="5" s="1"/>
  <c r="S61" i="5"/>
  <c r="U61" i="5" s="1"/>
  <c r="S49" i="5"/>
  <c r="U49" i="5" s="1"/>
  <c r="S37" i="5"/>
  <c r="U37" i="5" s="1"/>
  <c r="S25" i="5"/>
  <c r="U25" i="5" s="1"/>
  <c r="S13" i="5"/>
  <c r="U13" i="5" s="1"/>
  <c r="S108" i="5"/>
  <c r="U108" i="5" s="1"/>
  <c r="S96" i="5"/>
  <c r="U96" i="5" s="1"/>
  <c r="S84" i="5"/>
  <c r="U84" i="5" s="1"/>
  <c r="S72" i="5"/>
  <c r="U72" i="5" s="1"/>
  <c r="S60" i="5"/>
  <c r="U60" i="5" s="1"/>
  <c r="S48" i="5"/>
  <c r="U48" i="5" s="1"/>
  <c r="S36" i="5"/>
  <c r="U36" i="5" s="1"/>
  <c r="S24" i="5"/>
  <c r="U24" i="5" s="1"/>
  <c r="S12" i="5"/>
  <c r="U12" i="5" s="1"/>
  <c r="S107" i="5"/>
  <c r="U107" i="5" s="1"/>
  <c r="S95" i="5"/>
  <c r="U95" i="5" s="1"/>
  <c r="S83" i="5"/>
  <c r="U83" i="5" s="1"/>
  <c r="S71" i="5"/>
  <c r="U71" i="5" s="1"/>
  <c r="S59" i="5"/>
  <c r="U59" i="5" s="1"/>
  <c r="S47" i="5"/>
  <c r="U47" i="5" s="1"/>
  <c r="S35" i="5"/>
  <c r="U35" i="5" s="1"/>
  <c r="S23" i="5"/>
  <c r="U23" i="5" s="1"/>
  <c r="S11" i="5"/>
  <c r="U11" i="5" s="1"/>
  <c r="S106" i="5"/>
  <c r="U106" i="5" s="1"/>
  <c r="S94" i="5"/>
  <c r="U94" i="5" s="1"/>
  <c r="S82" i="5"/>
  <c r="U82" i="5" s="1"/>
  <c r="S70" i="5"/>
  <c r="U70" i="5" s="1"/>
  <c r="S58" i="5"/>
  <c r="U58" i="5" s="1"/>
  <c r="S46" i="5"/>
  <c r="U46" i="5" s="1"/>
  <c r="S34" i="5"/>
  <c r="U34" i="5" s="1"/>
  <c r="S22" i="5"/>
  <c r="U22" i="5" s="1"/>
  <c r="S10" i="5"/>
  <c r="U10" i="5" s="1"/>
  <c r="S105" i="5"/>
  <c r="U105" i="5" s="1"/>
  <c r="S93" i="5"/>
  <c r="U93" i="5" s="1"/>
  <c r="S81" i="5"/>
  <c r="U81" i="5" s="1"/>
  <c r="S69" i="5"/>
  <c r="U69" i="5" s="1"/>
  <c r="S57" i="5"/>
  <c r="U57" i="5" s="1"/>
  <c r="S45" i="5"/>
  <c r="U45" i="5" s="1"/>
  <c r="S33" i="5"/>
  <c r="U33" i="5" s="1"/>
  <c r="S21" i="5"/>
  <c r="U21" i="5" s="1"/>
  <c r="S9" i="5"/>
  <c r="U9" i="5" s="1"/>
  <c r="E26" i="1"/>
  <c r="E54" i="1"/>
  <c r="E69" i="1"/>
  <c r="K55" i="1"/>
  <c r="T112" i="5" l="1"/>
  <c r="S112" i="5"/>
  <c r="K58" i="1"/>
</calcChain>
</file>

<file path=xl/sharedStrings.xml><?xml version="1.0" encoding="utf-8"?>
<sst xmlns="http://schemas.openxmlformats.org/spreadsheetml/2006/main" count="369" uniqueCount="207">
  <si>
    <t>No</t>
  </si>
  <si>
    <t>Description</t>
  </si>
  <si>
    <t>Price</t>
  </si>
  <si>
    <t>Qty</t>
  </si>
  <si>
    <t>Total</t>
  </si>
  <si>
    <t>Books</t>
  </si>
  <si>
    <t>Basic Text</t>
  </si>
  <si>
    <t>Sponsorship</t>
  </si>
  <si>
    <t>It Works How and Why</t>
  </si>
  <si>
    <t>Step Working Guide</t>
  </si>
  <si>
    <t>Just For Today Meditation Book</t>
  </si>
  <si>
    <t>Living Clean</t>
  </si>
  <si>
    <t>Intro Guide To NA</t>
  </si>
  <si>
    <t>NA White Book (5 Pack)</t>
  </si>
  <si>
    <t>12 Concepts of Service</t>
  </si>
  <si>
    <t>Guide To Local Service</t>
  </si>
  <si>
    <t>Treasurers Workbook</t>
  </si>
  <si>
    <t>Phone Books (10 Pack)</t>
  </si>
  <si>
    <t>Readings (Set of 7)</t>
  </si>
  <si>
    <t>Pamphlets (5 Pack)</t>
  </si>
  <si>
    <t>IP #1 Who, What, How, and Why</t>
  </si>
  <si>
    <t>IP #2 The Group</t>
  </si>
  <si>
    <t>IP #5 Another Look</t>
  </si>
  <si>
    <t>IP #6 Recovery and Relapse</t>
  </si>
  <si>
    <t>IP #7 Am I an Addict?</t>
  </si>
  <si>
    <t>IP #8 Just for Today</t>
  </si>
  <si>
    <t>IP #9 Living the Program</t>
  </si>
  <si>
    <t>IP #11 Sponsorship</t>
  </si>
  <si>
    <t>IP #12 The Triangle of Self-Obsession</t>
  </si>
  <si>
    <t>IP #13 By Young Addicts For Young Addicts</t>
  </si>
  <si>
    <t>IP #14 One Addict's Experience</t>
  </si>
  <si>
    <t>IP#15 PI and the NA Member</t>
  </si>
  <si>
    <t>IP #16 For the Newcomer</t>
  </si>
  <si>
    <t>IP #17 For Those in Treatment</t>
  </si>
  <si>
    <t>IP#19 Self Acceptance</t>
  </si>
  <si>
    <t>IP #20 H&amp;I Service &amp; the NA Member</t>
  </si>
  <si>
    <t>IP #21 The Loner</t>
  </si>
  <si>
    <t>IP #22 Welcome to NA</t>
  </si>
  <si>
    <t>IP #23 Staying Clean on the Outside</t>
  </si>
  <si>
    <t>IP #24 Money Matters</t>
  </si>
  <si>
    <t>IP#26 Accessibility</t>
  </si>
  <si>
    <t>IP#27 For the Parents or Guardians</t>
  </si>
  <si>
    <t>IP#28 Funding NA Services</t>
  </si>
  <si>
    <t>An Introduction to NA Meetings</t>
  </si>
  <si>
    <t>NA - Community Resource</t>
  </si>
  <si>
    <t>Special Orders</t>
  </si>
  <si>
    <t>Group Business Meetings</t>
  </si>
  <si>
    <t>Trusted Servants Roles and Responsibilities</t>
  </si>
  <si>
    <t>Violent and Disruptive Behavior</t>
  </si>
  <si>
    <t>NA Groups and Medication</t>
  </si>
  <si>
    <t>IP #10 Working Step 4 (1)</t>
  </si>
  <si>
    <t>IP#18 Group Booklet (1)</t>
  </si>
  <si>
    <t>Behind the Walls</t>
  </si>
  <si>
    <t>In Times of Illness (1)</t>
  </si>
  <si>
    <t>Welcome</t>
  </si>
  <si>
    <t>30 Days</t>
  </si>
  <si>
    <t>60 Days</t>
  </si>
  <si>
    <t>90 Days</t>
  </si>
  <si>
    <t>6 Months</t>
  </si>
  <si>
    <t>9 Months</t>
  </si>
  <si>
    <t>1 Year</t>
  </si>
  <si>
    <t>18 Months</t>
  </si>
  <si>
    <t xml:space="preserve">Mutiple </t>
  </si>
  <si>
    <t>Keytags (5 Pack)</t>
  </si>
  <si>
    <t>Medallions</t>
  </si>
  <si>
    <t>Eternity</t>
  </si>
  <si>
    <t>1 Years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</si>
  <si>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</si>
  <si>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</si>
  <si>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</si>
  <si>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</si>
  <si>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</si>
  <si>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</si>
  <si>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</si>
  <si>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</si>
  <si>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</si>
  <si>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</si>
  <si>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</si>
  <si>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</si>
  <si>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</si>
  <si>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</si>
  <si>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</si>
  <si>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</si>
  <si>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</si>
  <si>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</si>
  <si>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</si>
  <si>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21 Years</t>
  </si>
  <si>
    <t>22 Years</t>
  </si>
  <si>
    <t>23 Years</t>
  </si>
  <si>
    <t>24 Years</t>
  </si>
  <si>
    <t>25 Years</t>
  </si>
  <si>
    <t>26 Years</t>
  </si>
  <si>
    <t>27 Years</t>
  </si>
  <si>
    <t>28 Years</t>
  </si>
  <si>
    <t>29 Years</t>
  </si>
  <si>
    <t>30 Years</t>
  </si>
  <si>
    <t>Books Subtotal:</t>
  </si>
  <si>
    <t>Keytags Subtotal:</t>
  </si>
  <si>
    <t>Pamphlets Subtotal:</t>
  </si>
  <si>
    <t>Special Orders Subtotal:</t>
  </si>
  <si>
    <t>Medallions Subtotal:</t>
  </si>
  <si>
    <t>NORVANA LITERATURE COMMITTEE</t>
  </si>
  <si>
    <t>GROUP ORDER FORM</t>
  </si>
  <si>
    <t xml:space="preserve">DATE: </t>
  </si>
  <si>
    <t xml:space="preserve">GROUP: </t>
  </si>
  <si>
    <t xml:space="preserve">CONTACT: </t>
  </si>
  <si>
    <t xml:space="preserve">EMAIL: </t>
  </si>
  <si>
    <t xml:space="preserve">PHONE: </t>
  </si>
  <si>
    <t xml:space="preserve">ORDER TOTAL: </t>
  </si>
  <si>
    <t>Receipt</t>
  </si>
  <si>
    <t>Ready</t>
  </si>
  <si>
    <t>Order</t>
  </si>
  <si>
    <t>Filled</t>
  </si>
  <si>
    <t>Paid</t>
  </si>
  <si>
    <t>Revised Total:</t>
  </si>
  <si>
    <t>Receipt #:</t>
  </si>
  <si>
    <t>Guiding Principles: The Spirit of Our Traditions</t>
  </si>
  <si>
    <t>Social Media &amp; Our Guiding Principles</t>
  </si>
  <si>
    <t>IP #24 Money Matters: Self-Support in NA (1)</t>
  </si>
  <si>
    <t>Spiritual Principle A Day</t>
  </si>
  <si>
    <t>Miracles Happen</t>
  </si>
  <si>
    <t>Principles and Leadership in NA Service</t>
  </si>
  <si>
    <t>NA and Persons Receiving Medication Asst Tx</t>
  </si>
  <si>
    <t>Type</t>
  </si>
  <si>
    <t>Name</t>
  </si>
  <si>
    <t>Unit Cost</t>
  </si>
  <si>
    <t>I.P. # 1 Who, What, How, Why</t>
  </si>
  <si>
    <t>I.P. # 2 The Group</t>
  </si>
  <si>
    <t>I.P. # 5 Another Look</t>
  </si>
  <si>
    <t>I.P. # 6 Recovery &amp; Relapse</t>
  </si>
  <si>
    <t>I.P. # 7 Am I An Addict?</t>
  </si>
  <si>
    <t>I.P. # 8 Just For Today</t>
  </si>
  <si>
    <t>I.P. # 9 Living The Program</t>
  </si>
  <si>
    <t>I.P. # 11 Sponsorship</t>
  </si>
  <si>
    <t>I.P. # 12 Triangle of Self-Obsession</t>
  </si>
  <si>
    <t>I.P. # 13 For Young Addicts, By Young Addicts</t>
  </si>
  <si>
    <t>I.P. # 14 One Addict's Experience</t>
  </si>
  <si>
    <t>I.P. # 15 P.I. and The N.A. Member</t>
  </si>
  <si>
    <t>I.P. # 16 For The Newcomer</t>
  </si>
  <si>
    <t>I.P. # 17 For Those In Treatment</t>
  </si>
  <si>
    <t>I.P. # 19 Self Acceptance</t>
  </si>
  <si>
    <t>I.P. # 20 H&amp;I/NA Member</t>
  </si>
  <si>
    <t>I.P. # 21 Loner Staying Clean</t>
  </si>
  <si>
    <t>I.P. # 22 Welcome To N.A.</t>
  </si>
  <si>
    <t>I.P. # 23 Staying Clean Outside</t>
  </si>
  <si>
    <t>I.P. # 24 Money Matters: Self Support in NA</t>
  </si>
  <si>
    <t>Accessibility For Those with Additional Needs</t>
  </si>
  <si>
    <t>For Parents or Guardians of Younf People in N.A.</t>
  </si>
  <si>
    <t>Funding N.A. Services</t>
  </si>
  <si>
    <t>N.A. Resource In Your Community</t>
  </si>
  <si>
    <t>Disruptive and Violent Behavior</t>
  </si>
  <si>
    <t>NA Groups &amp; Medication</t>
  </si>
  <si>
    <t>Priniciples and Leadership in NA Service</t>
  </si>
  <si>
    <t>NA &amp; Persons Rec-Med Asst Treatment</t>
  </si>
  <si>
    <t>I.P. # 30 Mental Health in Recovery</t>
  </si>
  <si>
    <t>I.P. #10 Working Step Four</t>
  </si>
  <si>
    <t>I.P. #18 Group Booklet</t>
  </si>
  <si>
    <t>In Times of Illness</t>
  </si>
  <si>
    <t>The Twelve Concepts</t>
  </si>
  <si>
    <t>NA White Books</t>
  </si>
  <si>
    <t>Basic Text 6th ed.</t>
  </si>
  <si>
    <t>Sponsorship </t>
  </si>
  <si>
    <t>It Works: How and Why</t>
  </si>
  <si>
    <t>A Spiritual Principle a Day</t>
  </si>
  <si>
    <t>Just For Today Meditation</t>
  </si>
  <si>
    <t>Living Clean The Journey Continues</t>
  </si>
  <si>
    <t>Introductory Guide To N.A.</t>
  </si>
  <si>
    <t>Guiding Principles: The Spirit Of Our Traditions</t>
  </si>
  <si>
    <t>A Guide To Local Service in N.A.</t>
  </si>
  <si>
    <t>Treasurer's Workbook</t>
  </si>
  <si>
    <t>Phone Books</t>
  </si>
  <si>
    <t>Group Readings (Set of 7)</t>
  </si>
  <si>
    <t>Keytags</t>
  </si>
  <si>
    <t>31 Years</t>
  </si>
  <si>
    <t>32 Years</t>
  </si>
  <si>
    <t>33 Years</t>
  </si>
  <si>
    <t>34 Years</t>
  </si>
  <si>
    <t>35 Years</t>
  </si>
  <si>
    <t>36 Years</t>
  </si>
  <si>
    <t>37 Years</t>
  </si>
  <si>
    <t>38 Years</t>
  </si>
  <si>
    <t>39 Years</t>
  </si>
  <si>
    <t>40 Years</t>
  </si>
  <si>
    <t>41 Years</t>
  </si>
  <si>
    <t>42 Years</t>
  </si>
  <si>
    <t>43 Years</t>
  </si>
  <si>
    <t>44 Years</t>
  </si>
  <si>
    <t>45 Years</t>
  </si>
  <si>
    <t>Sold Units</t>
  </si>
  <si>
    <t>Member Price</t>
  </si>
  <si>
    <t>Pamphlets</t>
  </si>
  <si>
    <t>Special</t>
  </si>
  <si>
    <t>Social Media and Our Guiding Principles</t>
  </si>
  <si>
    <t>Cost</t>
  </si>
  <si>
    <t>Margin</t>
  </si>
  <si>
    <t>Start - Sep</t>
  </si>
  <si>
    <t>Sold - Sep</t>
  </si>
  <si>
    <t>Start - Oct</t>
  </si>
  <si>
    <t>Sold - Oct</t>
  </si>
  <si>
    <t>Start - Nov</t>
  </si>
  <si>
    <t>Min</t>
  </si>
  <si>
    <t>Miracles Happen w/ CD</t>
  </si>
  <si>
    <t>On priceSheet:</t>
  </si>
  <si>
    <t>The current inventory is in column H</t>
  </si>
  <si>
    <t>Enter the minimum quantity in column M (highlighted in green)</t>
  </si>
  <si>
    <t>The other cells are all locked to avoid messing up a formula by mistake</t>
  </si>
  <si>
    <t>Revised Jan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</si>
</sst>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;_(@_)"/>
    <numFmt numFmtId="165" formatCode="[&lt;=9999999]###\-####;\(###\)\ ###\-####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name val="Georgia"/>
      <family val="1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43" fontId="1" fillId="0" borderId="0" applyFont="0" applyFill="0" applyBorder="0" applyAlignment="0" applyProtection="0"/>
    <xf numFmtId="0" fontId="11" fillId="2" borderId="9" applyNumberFormat="0" applyAlignment="0" applyProtection="0"/>
    <xf numFmtId="0" fontId="12" fillId="3" borderId="10" applyNumberFormat="0" applyAlignment="0" applyProtection="0"/>
  </cellStyleXfs>
  <cellXfs count="40">
    <xf numFmtId="0" fontId="0" fillId="0" borderId="0" xfId="0"/>
    <xf numFmtId="44" fontId="0" fillId="0" borderId="0" xfId="1" applyFont="1"/>
    <xf numFmtId="164" fontId="0" fillId="0" borderId="0" xfId="0" applyNumberFormat="1"/>
    <xf numFmtId="0" fontId="0" fillId="0" borderId="3" xfId="0" applyBorder="1"/>
    <xf numFmtId="44" fontId="0" fillId="0" borderId="3" xfId="1" applyFont="1" applyBorder="1"/>
    <xf numFmtId="164" fontId="0" fillId="0" borderId="3" xfId="0" applyNumberFormat="1" applyBorder="1"/>
    <xf numFmtId="44" fontId="0" fillId="0" borderId="3" xfId="0" applyNumberFormat="1" applyBorder="1"/>
    <xf numFmtId="0" fontId="0" fillId="0" borderId="0" xfId="0" applyAlignment="1">
      <alignment horizontal="right"/>
    </xf>
    <xf numFmtId="0" fontId="3" fillId="0" borderId="1" xfId="3"/>
    <xf numFmtId="44" fontId="0" fillId="0" borderId="0" xfId="0" applyNumberFormat="1"/>
    <xf numFmtId="164" fontId="3" fillId="0" borderId="1" xfId="3" applyNumberFormat="1"/>
    <xf numFmtId="44" fontId="3" fillId="0" borderId="1" xfId="3" applyNumberFormat="1"/>
    <xf numFmtId="0" fontId="0" fillId="0" borderId="4" xfId="0" applyBorder="1"/>
    <xf numFmtId="0" fontId="0" fillId="0" borderId="3" xfId="0" applyBorder="1" applyProtection="1">
      <protection locked="0"/>
    </xf>
    <xf numFmtId="0" fontId="6" fillId="0" borderId="0" xfId="0" applyFont="1" applyAlignment="1">
      <alignment horizontal="right"/>
    </xf>
    <xf numFmtId="44" fontId="0" fillId="0" borderId="0" xfId="1" applyFont="1" applyBorder="1"/>
    <xf numFmtId="0" fontId="0" fillId="0" borderId="7" xfId="0" applyBorder="1"/>
    <xf numFmtId="0" fontId="0" fillId="0" borderId="8" xfId="0" applyBorder="1"/>
    <xf numFmtId="44" fontId="0" fillId="0" borderId="8" xfId="1" applyFont="1" applyBorder="1"/>
    <xf numFmtId="0" fontId="0" fillId="0" borderId="6" xfId="0" applyBorder="1" applyAlignment="1">
      <alignment horizontal="center"/>
    </xf>
    <xf numFmtId="44" fontId="0" fillId="0" borderId="6" xfId="1" applyFont="1" applyBorder="1" applyAlignment="1">
      <alignment horizontal="center"/>
    </xf>
    <xf numFmtId="0" fontId="0" fillId="0" borderId="7" xfId="0" applyBorder="1" applyAlignment="1">
      <alignment horizontal="center"/>
    </xf>
    <xf numFmtId="44" fontId="0" fillId="0" borderId="7" xfId="1" applyFont="1" applyBorder="1" applyAlignment="1">
      <alignment horizontal="center"/>
    </xf>
    <xf numFmtId="0" fontId="8" fillId="0" borderId="1" xfId="3" applyFont="1"/>
    <xf numFmtId="0" fontId="9" fillId="0" borderId="0" xfId="0" applyFont="1"/>
    <xf numFmtId="0" fontId="10" fillId="0" borderId="2" xfId="4" applyFont="1"/>
    <xf numFmtId="164" fontId="8" fillId="0" borderId="1" xfId="3" applyNumberFormat="1" applyFont="1"/>
    <xf numFmtId="0" fontId="5" fillId="0" borderId="0" xfId="0" applyFont="1" applyAlignment="1">
      <alignment horizontal="right"/>
    </xf>
    <xf numFmtId="0" fontId="11" fillId="2" borderId="9" xfId="6"/>
    <xf numFmtId="43" fontId="0" fillId="0" borderId="0" xfId="5" applyFont="1"/>
    <xf numFmtId="43" fontId="0" fillId="0" borderId="0" xfId="0" applyNumberFormat="1"/>
    <xf numFmtId="44" fontId="1" fillId="0" borderId="3" xfId="1" applyFont="1" applyBorder="1"/>
    <xf numFmtId="0" fontId="12" fillId="4" borderId="10" xfId="7" applyFill="1" applyProtection="1">
      <protection locked="0"/>
    </xf>
    <xf numFmtId="0" fontId="11" fillId="5" borderId="9" xfId="6" applyFill="1"/>
    <xf numFmtId="0" fontId="13" fillId="0" borderId="0" xfId="0" applyFont="1"/>
    <xf numFmtId="165" fontId="0" fillId="0" borderId="5" xfId="0" applyNumberFormat="1" applyBorder="1" applyAlignment="1" applyProtection="1">
      <alignment horizontal="center"/>
      <protection locked="0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right" vertical="top"/>
    </xf>
    <xf numFmtId="14" fontId="0" fillId="0" borderId="4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</cellXfs>
  <cellStyles count="8">
    <cellStyle name="Comma" xfId="5" builtinId="3"/>
    <cellStyle name="Currency" xfId="1" builtinId="4"/>
    <cellStyle name="Heading 2" xfId="3" builtinId="17"/>
    <cellStyle name="Heading 3" xfId="4" builtinId="18"/>
    <cellStyle name="Input" xfId="7" builtinId="20"/>
    <cellStyle name="Normal" xfId="0" builtinId="0"/>
    <cellStyle name="Output" xfId="6" builtinId="21"/>
    <cellStyle name="Title" xfId="2" builtinId="15"/>
  </cellStyles>
  <dxfs count="4">
    <dxf>
      <border outline="0">
        <left style="thin">
          <color rgb="FF3F3F3F"/>
        </left>
      </border>
    </dxf>
    <dxf>
      <numFmt numFmtId="0" formatCode="General"/>
      <fill>
        <patternFill patternType="solid">
          <fgColor indexed="64"/>
          <bgColor theme="7" tint="0.79998168889431442"/>
        </patternFill>
      </fill>
    </dxf>
    <dxf>
      <border outline="0">
        <right style="thin">
          <color rgb="FF3F3F3F"/>
        </right>
      </border>
    </dxf>
    <dxf>
      <numFmt numFmtId="0" formatCode="General"/>
    </dxf>
  </dxfs>
  <tableStyles count="1" defaultTableStyle="TableStyleMedium2" defaultPivotStyle="PivotStyleLight16">
    <tableStyle name="MySqlDefault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101601</xdr:colOff>
      <xdr:row>0</xdr:row>
      <xdr:rowOff>76201</xdr:rowOff>
    </xdr:from>
    <xdr:to>
      <xdr:col>1</xdr:col>
      <xdr:colOff>636</xdr:colOff>
      <xdr:row>2</xdr:row>
      <xdr:rowOff>72391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1" y="76201"/>
          <a:ext cx="476250" cy="4730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F3014D3-02C4-4625-8084-2B43B6FA76E2}" name="priceTable" displayName="priceTable" ref="A1:K110" totalsRowShown="0">
  <autoFilter ref="A1:K110" xr:uid="{1F3014D3-02C4-4625-8084-2B43B6FA76E2}"/>
  <sortState xmlns:xlrd2="http://schemas.microsoft.com/office/spreadsheetml/2017/richdata2" ref="A2:K110">
    <sortCondition ref="A1:A110"/>
  </sortState>
  <tableColumns count="11">
    <tableColumn id="1" xr3:uid="{3CBE5D77-99E1-416F-BDDD-8DF103AAD189}" name="No"/>
    <tableColumn id="2" xr3:uid="{01C64127-0B40-46CA-A27B-F28A13C9FDF1}" name="Name"/>
    <tableColumn id="3" xr3:uid="{74FC2DC1-F4EF-4B5E-B3A5-B1EA9C676054}" name="Unit Cost"/>
    <tableColumn id="4" xr3:uid="{7973E991-BCE7-4B12-A521-1897F1F12C85}" name="Start - Sep" dataCellStyle="Output"/>
    <tableColumn id="8" xr3:uid="{810DF4A0-6DA1-4222-A9AD-FBBB8F03E28C}" name="Sold - Sep" dataCellStyle="Output"/>
    <tableColumn id="9" xr3:uid="{9AE33413-D54B-47FE-9D12-D6DCF739EAD0}" name="Start - Oct" dataDxfId="3" dataCellStyle="Output">
      <calculatedColumnFormula>priceTable[[#This Row],[Start - Sep]]-priceTable[[#This Row],[Sold - Sep]]</calculatedColumnFormula>
    </tableColumn>
    <tableColumn id="10" xr3:uid="{1B90F235-7D49-4BF0-A2D0-065AD5A31238}" name="Sold - Oct" dataDxfId="2"/>
    <tableColumn id="11" xr3:uid="{E9A42799-5AF6-4390-A5A9-C3F1E5E5875F}" name="Start - Nov" dataDxfId="1" dataCellStyle="Output">
      <calculatedColumnFormula>priceTable[[#This Row],[Start - Oct]]-priceTable[[#This Row],[Sold - Oct]]</calculatedColumnFormula>
    </tableColumn>
    <tableColumn id="5" xr3:uid="{9F31E5E5-BB9F-4470-A862-AA7705A29583}" name="Member Price" dataDxfId="0"/>
    <tableColumn id="6" xr3:uid="{F09D3E3F-D6DE-4738-B0BB-EC3C8A8FEBDE}" name="Sold Units"/>
    <tableColumn id="7" xr3:uid="{E1971F54-D14C-4A3B-8A10-A34989C8BB3E}" name="Type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2021C-2A0F-447F-AF60-C05941E4D488}">
  <dimension ref="A1:A4"/>
  <sheetViews>
    <sheetView workbookViewId="0">
      <selection activeCell="A5" sqref="A5"/>
    </sheetView>
  </sheetViews>
  <sheetFormatPr defaultColWidth="8.85546875" defaultRowHeight="15" x14ac:dyDescent="0.25"/>
  <cols>
    <col min="1" max="1" width="64.85546875" bestFit="1" customWidth="1"/>
  </cols>
  <sheetData>
    <row r="1" spans="1:1" x14ac:dyDescent="0.25">
      <c r="A1" s="34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showGridLines="0" tabSelected="1" topLeftCell="A2" workbookViewId="0">
      <selection activeCell="D9" sqref="D9"/>
    </sheetView>
  </sheetViews>
  <sheetFormatPr defaultColWidth="8.85546875" defaultRowHeight="15" x14ac:dyDescent="0.25"/>
  <cols>
    <col min="1" max="1" width="7.7109375" customWidth="1"/>
    <col min="2" max="2" width="42.85546875" bestFit="1" customWidth="1"/>
    <col min="3" max="5" width="10.7109375" customWidth="1"/>
    <col min="6" max="6" width="3" customWidth="1"/>
    <col min="7" max="7" width="12.140625" customWidth="1"/>
    <col min="8" max="8" width="11.140625" bestFit="1" customWidth="1"/>
    <col min="9" max="11" width="10.7109375" customWidth="1"/>
  </cols>
  <sheetData>
    <row r="1" spans="1:11" ht="23.25" customHeight="1" x14ac:dyDescent="0.25">
      <c r="B1" s="36" t="s">
        <v>101</v>
      </c>
      <c r="C1" s="36"/>
      <c r="D1" s="36"/>
      <c r="E1" s="36"/>
      <c r="G1" s="7" t="s">
        <v>103</v>
      </c>
      <c r="H1" s="38"/>
      <c r="I1" s="38"/>
      <c r="J1" s="38"/>
      <c r="K1" s="38"/>
    </row>
    <row r="2" spans="1:11" x14ac:dyDescent="0.25">
      <c r="B2" s="36"/>
      <c r="C2" s="36"/>
      <c r="D2" s="36"/>
      <c r="E2" s="36"/>
      <c r="G2" s="7" t="s">
        <v>104</v>
      </c>
      <c r="H2" s="39"/>
      <c r="I2" s="39"/>
      <c r="J2" s="39"/>
      <c r="K2" s="39"/>
    </row>
    <row r="3" spans="1:11" ht="15" customHeight="1" x14ac:dyDescent="0.25">
      <c r="A3" s="37" t="s">
        <v>102</v>
      </c>
      <c r="B3" s="37"/>
      <c r="C3" s="37"/>
      <c r="D3" s="37"/>
      <c r="E3" s="37"/>
      <c r="G3" s="7" t="s">
        <v>105</v>
      </c>
      <c r="H3" s="39"/>
      <c r="I3" s="39"/>
      <c r="J3" s="39"/>
      <c r="K3" s="39"/>
    </row>
    <row r="4" spans="1:11" ht="15" customHeight="1" x14ac:dyDescent="0.25">
      <c r="A4" s="37"/>
      <c r="B4" s="37"/>
      <c r="C4" s="37"/>
      <c r="D4" s="37"/>
      <c r="E4" s="37"/>
      <c r="G4" s="7" t="s">
        <v>106</v>
      </c>
      <c r="H4" s="39"/>
      <c r="I4" s="39"/>
      <c r="J4" s="39"/>
      <c r="K4" s="39"/>
    </row>
    <row r="5" spans="1:11" x14ac:dyDescent="0.25">
      <c r="E5" s="14" t="s">
        <v>206</v>
      </c>
      <c r="G5" s="7" t="s">
        <v>107</v>
      </c>
      <c r="H5" s="35"/>
      <c r="I5" s="35"/>
      <c r="J5" s="35"/>
      <c r="K5" s="35"/>
    </row>
    <row r="7" spans="1:11" ht="18" thickBot="1" x14ac:dyDescent="0.35">
      <c r="A7" s="23" t="s">
        <v>5</v>
      </c>
      <c r="B7" s="23"/>
      <c r="C7" s="23"/>
      <c r="D7" s="23"/>
      <c r="E7" s="23"/>
      <c r="F7" s="24"/>
      <c r="G7" s="23" t="s">
        <v>63</v>
      </c>
      <c r="H7" s="23"/>
      <c r="I7" s="23"/>
      <c r="J7" s="23"/>
      <c r="K7" s="23"/>
    </row>
    <row r="8" spans="1:11" ht="16.5" thickTop="1" thickBot="1" x14ac:dyDescent="0.3">
      <c r="A8" s="25" t="s">
        <v>0</v>
      </c>
      <c r="B8" s="25" t="s">
        <v>1</v>
      </c>
      <c r="C8" s="25" t="s">
        <v>2</v>
      </c>
      <c r="D8" s="25" t="s">
        <v>3</v>
      </c>
      <c r="E8" s="25" t="s">
        <v>4</v>
      </c>
      <c r="F8" s="24"/>
      <c r="G8" s="25" t="s">
        <v>0</v>
      </c>
      <c r="H8" s="25" t="s">
        <v>1</v>
      </c>
      <c r="I8" s="25" t="s">
        <v>2</v>
      </c>
      <c r="J8" s="25" t="s">
        <v>3</v>
      </c>
      <c r="K8" s="25" t="s">
        <v>4</v>
      </c>
    </row>
    <row r="9" spans="1:11" ht="15" customHeight="1" x14ac:dyDescent="0.25">
      <c r="A9" s="3">
        <v>1101</v>
      </c>
      <c r="B9" s="3" t="s">
        <v>6</v>
      </c>
      <c r="C9" s="4">
        <v>15.65</v>
      </c>
      <c r="D9" s="13"/>
      <c r="E9" s="5"/>
      <c r="G9" s="3">
        <v>4100</v>
      </c>
      <c r="H9" s="3" t="s">
        <v>54</v>
      </c>
      <c r="I9" s="4">
        <v>3.2</v>
      </c>
      <c r="J9" s="13"/>
      <c r="K9" s="5">
        <f>I9*J9</f>
        <v>0</v>
      </c>
    </row>
    <row r="10" spans="1:11" ht="15" customHeight="1" x14ac:dyDescent="0.25">
      <c r="A10" s="3">
        <v>1130</v>
      </c>
      <c r="B10" s="3" t="s">
        <v>7</v>
      </c>
      <c r="C10" s="4">
        <v>11.25</v>
      </c>
      <c r="D10" s="13"/>
      <c r="E10" s="5"/>
      <c r="G10" s="3">
        <v>4101</v>
      </c>
      <c r="H10" s="3" t="s">
        <v>55</v>
      </c>
      <c r="I10" s="4">
        <v>3.2</v>
      </c>
      <c r="J10" s="13"/>
      <c r="K10" s="5">
        <f t="shared" ref="K10:K17" si="0">I10*J10</f>
        <v>0</v>
      </c>
    </row>
    <row r="11" spans="1:11" ht="15" customHeight="1" x14ac:dyDescent="0.25">
      <c r="A11" s="3">
        <v>1140</v>
      </c>
      <c r="B11" s="3" t="s">
        <v>8</v>
      </c>
      <c r="C11" s="4">
        <v>12.3</v>
      </c>
      <c r="D11" s="13"/>
      <c r="E11" s="5"/>
      <c r="G11" s="3">
        <v>4102</v>
      </c>
      <c r="H11" s="3" t="s">
        <v>56</v>
      </c>
      <c r="I11" s="4">
        <v>3.2</v>
      </c>
      <c r="J11" s="13"/>
      <c r="K11" s="5">
        <f t="shared" si="0"/>
        <v>0</v>
      </c>
    </row>
    <row r="12" spans="1:11" ht="15" customHeight="1" x14ac:dyDescent="0.25">
      <c r="A12" s="3">
        <v>1400</v>
      </c>
      <c r="B12" s="3" t="s">
        <v>9</v>
      </c>
      <c r="C12" s="4">
        <v>11.6</v>
      </c>
      <c r="D12" s="13"/>
      <c r="E12" s="5"/>
      <c r="G12" s="3">
        <v>4103</v>
      </c>
      <c r="H12" s="3" t="s">
        <v>57</v>
      </c>
      <c r="I12" s="4">
        <v>3.2</v>
      </c>
      <c r="J12" s="13"/>
      <c r="K12" s="5">
        <f t="shared" si="0"/>
        <v>0</v>
      </c>
    </row>
    <row r="13" spans="1:11" ht="15" customHeight="1" x14ac:dyDescent="0.25">
      <c r="A13" s="3">
        <v>1110</v>
      </c>
      <c r="B13" s="3" t="s">
        <v>119</v>
      </c>
      <c r="C13" s="4">
        <v>14.95</v>
      </c>
      <c r="D13" s="13"/>
      <c r="E13" s="5"/>
      <c r="G13" s="3">
        <v>4104</v>
      </c>
      <c r="H13" s="3" t="s">
        <v>58</v>
      </c>
      <c r="I13" s="4">
        <v>3.2</v>
      </c>
      <c r="J13" s="13"/>
      <c r="K13" s="5">
        <f t="shared" si="0"/>
        <v>0</v>
      </c>
    </row>
    <row r="14" spans="1:11" ht="15" customHeight="1" x14ac:dyDescent="0.25">
      <c r="A14" s="3">
        <v>1112</v>
      </c>
      <c r="B14" s="3" t="s">
        <v>10</v>
      </c>
      <c r="C14" s="4">
        <v>12.3</v>
      </c>
      <c r="D14" s="13"/>
      <c r="E14" s="5"/>
      <c r="G14" s="3">
        <v>4105</v>
      </c>
      <c r="H14" s="3" t="s">
        <v>59</v>
      </c>
      <c r="I14" s="4">
        <v>3.2</v>
      </c>
      <c r="J14" s="13"/>
      <c r="K14" s="5">
        <f t="shared" si="0"/>
        <v>0</v>
      </c>
    </row>
    <row r="15" spans="1:11" ht="15" customHeight="1" x14ac:dyDescent="0.25">
      <c r="A15" s="3">
        <v>1121</v>
      </c>
      <c r="B15" s="3" t="s">
        <v>201</v>
      </c>
      <c r="C15" s="4">
        <v>15</v>
      </c>
      <c r="D15" s="13"/>
      <c r="E15" s="5"/>
      <c r="G15" s="3">
        <v>4106</v>
      </c>
      <c r="H15" s="3" t="s">
        <v>60</v>
      </c>
      <c r="I15" s="4">
        <v>3.2</v>
      </c>
      <c r="J15" s="13"/>
      <c r="K15" s="5">
        <f t="shared" si="0"/>
        <v>0</v>
      </c>
    </row>
    <row r="16" spans="1:11" ht="15" customHeight="1" x14ac:dyDescent="0.25">
      <c r="A16" s="3">
        <v>1150</v>
      </c>
      <c r="B16" s="3" t="s">
        <v>11</v>
      </c>
      <c r="C16" s="4">
        <v>13.35</v>
      </c>
      <c r="D16" s="13"/>
      <c r="E16" s="5"/>
      <c r="G16" s="3">
        <v>4107</v>
      </c>
      <c r="H16" s="3" t="s">
        <v>61</v>
      </c>
      <c r="I16" s="4">
        <v>3.2</v>
      </c>
      <c r="J16" s="13"/>
      <c r="K16" s="5">
        <f t="shared" si="0"/>
        <v>0</v>
      </c>
    </row>
    <row r="17" spans="1:11" ht="15" customHeight="1" x14ac:dyDescent="0.25">
      <c r="A17" s="3">
        <v>1200</v>
      </c>
      <c r="B17" s="3" t="s">
        <v>12</v>
      </c>
      <c r="C17" s="4">
        <v>2.4500000000000002</v>
      </c>
      <c r="D17" s="13"/>
      <c r="E17" s="5"/>
      <c r="G17" s="3">
        <v>4108</v>
      </c>
      <c r="H17" s="3" t="s">
        <v>62</v>
      </c>
      <c r="I17" s="4">
        <v>3.2</v>
      </c>
      <c r="J17" s="13"/>
      <c r="K17" s="5">
        <f t="shared" si="0"/>
        <v>0</v>
      </c>
    </row>
    <row r="18" spans="1:11" ht="15" customHeight="1" x14ac:dyDescent="0.25">
      <c r="A18" s="3">
        <v>1201</v>
      </c>
      <c r="B18" s="3" t="s">
        <v>116</v>
      </c>
      <c r="C18" s="4">
        <v>13.35</v>
      </c>
      <c r="D18" s="13"/>
      <c r="E18" s="5"/>
      <c r="I18" s="1"/>
      <c r="K18" s="2"/>
    </row>
    <row r="19" spans="1:11" ht="15" customHeight="1" x14ac:dyDescent="0.25">
      <c r="A19" s="3">
        <v>1500</v>
      </c>
      <c r="B19" s="3" t="s">
        <v>13</v>
      </c>
      <c r="C19" s="4">
        <v>4.5999999999999996</v>
      </c>
      <c r="D19" s="13"/>
      <c r="E19" s="5"/>
      <c r="I19" s="1"/>
      <c r="J19" s="7" t="s">
        <v>97</v>
      </c>
      <c r="K19" s="5">
        <f>SUM(K9:K17)</f>
        <v>0</v>
      </c>
    </row>
    <row r="20" spans="1:11" ht="15" customHeight="1" x14ac:dyDescent="0.25">
      <c r="A20" s="3">
        <v>1164</v>
      </c>
      <c r="B20" s="3" t="s">
        <v>14</v>
      </c>
      <c r="C20" s="4">
        <v>2.5</v>
      </c>
      <c r="D20" s="13"/>
      <c r="E20" s="5">
        <f t="shared" ref="E20:E24" si="1">C20*D20</f>
        <v>0</v>
      </c>
    </row>
    <row r="21" spans="1:11" ht="15" customHeight="1" thickBot="1" x14ac:dyDescent="0.35">
      <c r="A21" s="3">
        <v>2111</v>
      </c>
      <c r="B21" s="3" t="s">
        <v>15</v>
      </c>
      <c r="C21" s="4">
        <v>8.6</v>
      </c>
      <c r="D21" s="13"/>
      <c r="E21" s="5">
        <f t="shared" si="1"/>
        <v>0</v>
      </c>
      <c r="G21" s="23" t="s">
        <v>64</v>
      </c>
      <c r="H21" s="8"/>
      <c r="I21" s="11"/>
      <c r="J21" s="8"/>
      <c r="K21" s="10"/>
    </row>
    <row r="22" spans="1:11" ht="15" customHeight="1" thickTop="1" x14ac:dyDescent="0.25">
      <c r="A22" s="3">
        <v>2110</v>
      </c>
      <c r="B22" s="3" t="s">
        <v>16</v>
      </c>
      <c r="C22" s="4">
        <v>2.5</v>
      </c>
      <c r="D22" s="13"/>
      <c r="E22" s="5">
        <f t="shared" si="1"/>
        <v>0</v>
      </c>
      <c r="G22" s="3">
        <v>4300</v>
      </c>
      <c r="H22" s="3" t="s">
        <v>61</v>
      </c>
      <c r="I22" s="31">
        <v>4.37</v>
      </c>
      <c r="J22" s="13"/>
      <c r="K22" s="5">
        <f>I22*J22</f>
        <v>0</v>
      </c>
    </row>
    <row r="23" spans="1:11" ht="15" customHeight="1" x14ac:dyDescent="0.25">
      <c r="A23" s="3">
        <v>1213</v>
      </c>
      <c r="B23" s="3" t="s">
        <v>17</v>
      </c>
      <c r="C23" s="4">
        <v>4.8</v>
      </c>
      <c r="D23" s="13"/>
      <c r="E23" s="5">
        <f t="shared" si="1"/>
        <v>0</v>
      </c>
      <c r="G23" s="3">
        <v>4301</v>
      </c>
      <c r="H23" s="3" t="s">
        <v>66</v>
      </c>
      <c r="I23" s="31">
        <v>4.37</v>
      </c>
      <c r="J23" s="13"/>
      <c r="K23" s="5">
        <f t="shared" ref="K23:K53" si="2">I23*J23</f>
        <v>0</v>
      </c>
    </row>
    <row r="24" spans="1:11" ht="15" customHeight="1" x14ac:dyDescent="0.25">
      <c r="A24" s="3">
        <v>9130</v>
      </c>
      <c r="B24" s="3" t="s">
        <v>18</v>
      </c>
      <c r="C24" s="4">
        <v>5.65</v>
      </c>
      <c r="D24" s="13"/>
      <c r="E24" s="5">
        <f t="shared" si="1"/>
        <v>0</v>
      </c>
      <c r="G24" s="3">
        <v>4302</v>
      </c>
      <c r="H24" s="3" t="s">
        <v>67</v>
      </c>
      <c r="I24" s="31">
        <v>4.37</v>
      </c>
      <c r="J24" s="13"/>
      <c r="K24" s="5">
        <f t="shared" si="2"/>
        <v>0</v>
      </c>
    </row>
    <row r="25" spans="1:11" ht="15" customHeight="1" x14ac:dyDescent="0.25">
      <c r="C25" s="1"/>
      <c r="E25" s="2"/>
      <c r="G25" s="3">
        <v>4303</v>
      </c>
      <c r="H25" s="3" t="s">
        <v>68</v>
      </c>
      <c r="I25" s="31">
        <v>4.37</v>
      </c>
      <c r="J25" s="13"/>
      <c r="K25" s="5">
        <f t="shared" si="2"/>
        <v>0</v>
      </c>
    </row>
    <row r="26" spans="1:11" x14ac:dyDescent="0.25">
      <c r="C26" s="1"/>
      <c r="D26" s="7" t="s">
        <v>96</v>
      </c>
      <c r="E26" s="5">
        <f>SUM(E9:E24)</f>
        <v>0</v>
      </c>
      <c r="G26" s="3">
        <v>4304</v>
      </c>
      <c r="H26" s="3" t="s">
        <v>69</v>
      </c>
      <c r="I26" s="31">
        <v>4.37</v>
      </c>
      <c r="J26" s="13"/>
      <c r="K26" s="5">
        <f t="shared" si="2"/>
        <v>0</v>
      </c>
    </row>
    <row r="27" spans="1:11" ht="18" thickBot="1" x14ac:dyDescent="0.35">
      <c r="A27" s="23" t="s">
        <v>19</v>
      </c>
      <c r="B27" s="23"/>
      <c r="C27" s="23"/>
      <c r="D27" s="23"/>
      <c r="E27" s="26"/>
      <c r="G27" s="3">
        <v>4305</v>
      </c>
      <c r="H27" s="3" t="s">
        <v>70</v>
      </c>
      <c r="I27" s="31">
        <v>4.37</v>
      </c>
      <c r="J27" s="13"/>
      <c r="K27" s="5">
        <f t="shared" si="2"/>
        <v>0</v>
      </c>
    </row>
    <row r="28" spans="1:11" ht="15.75" thickTop="1" x14ac:dyDescent="0.25">
      <c r="A28" s="3">
        <v>3101</v>
      </c>
      <c r="B28" s="3" t="s">
        <v>20</v>
      </c>
      <c r="C28" s="6">
        <v>1.45</v>
      </c>
      <c r="D28" s="13"/>
      <c r="E28" s="5"/>
      <c r="G28" s="3">
        <v>4306</v>
      </c>
      <c r="H28" s="3" t="s">
        <v>71</v>
      </c>
      <c r="I28" s="31">
        <v>4.37</v>
      </c>
      <c r="J28" s="13"/>
      <c r="K28" s="5">
        <f t="shared" si="2"/>
        <v>0</v>
      </c>
    </row>
    <row r="29" spans="1:11" ht="15" customHeight="1" x14ac:dyDescent="0.25">
      <c r="A29" s="3">
        <v>3102</v>
      </c>
      <c r="B29" s="3" t="s">
        <v>21</v>
      </c>
      <c r="C29" s="6">
        <v>1.9</v>
      </c>
      <c r="D29" s="13"/>
      <c r="E29" s="5"/>
      <c r="G29" s="3">
        <v>4307</v>
      </c>
      <c r="H29" s="3" t="s">
        <v>72</v>
      </c>
      <c r="I29" s="31">
        <v>4.37</v>
      </c>
      <c r="J29" s="13"/>
      <c r="K29" s="5">
        <f t="shared" si="2"/>
        <v>0</v>
      </c>
    </row>
    <row r="30" spans="1:11" ht="15" customHeight="1" x14ac:dyDescent="0.25">
      <c r="A30" s="3">
        <v>3105</v>
      </c>
      <c r="B30" s="3" t="s">
        <v>22</v>
      </c>
      <c r="C30" s="6">
        <v>1.45</v>
      </c>
      <c r="D30" s="13"/>
      <c r="E30" s="5"/>
      <c r="G30" s="3">
        <v>4308</v>
      </c>
      <c r="H30" s="3" t="s">
        <v>73</v>
      </c>
      <c r="I30" s="31">
        <v>4.37</v>
      </c>
      <c r="J30" s="13"/>
      <c r="K30" s="5">
        <f t="shared" si="2"/>
        <v>0</v>
      </c>
    </row>
    <row r="31" spans="1:11" ht="15" customHeight="1" x14ac:dyDescent="0.25">
      <c r="A31" s="3">
        <v>3106</v>
      </c>
      <c r="B31" s="3" t="s">
        <v>23</v>
      </c>
      <c r="C31" s="6">
        <v>1.45</v>
      </c>
      <c r="D31" s="13"/>
      <c r="E31" s="5"/>
      <c r="G31" s="3">
        <v>4309</v>
      </c>
      <c r="H31" s="3" t="s">
        <v>74</v>
      </c>
      <c r="I31" s="31">
        <v>4.37</v>
      </c>
      <c r="J31" s="13"/>
      <c r="K31" s="5">
        <f t="shared" si="2"/>
        <v>0</v>
      </c>
    </row>
    <row r="32" spans="1:11" ht="15" customHeight="1" x14ac:dyDescent="0.25">
      <c r="A32" s="3">
        <v>3107</v>
      </c>
      <c r="B32" s="3" t="s">
        <v>24</v>
      </c>
      <c r="C32" s="6">
        <v>1.45</v>
      </c>
      <c r="D32" s="13"/>
      <c r="E32" s="5"/>
      <c r="G32" s="3">
        <v>4310</v>
      </c>
      <c r="H32" s="3" t="s">
        <v>75</v>
      </c>
      <c r="I32" s="31">
        <v>4.37</v>
      </c>
      <c r="J32" s="13"/>
      <c r="K32" s="5">
        <f t="shared" si="2"/>
        <v>0</v>
      </c>
    </row>
    <row r="33" spans="1:11" ht="15" customHeight="1" x14ac:dyDescent="0.25">
      <c r="A33" s="3">
        <v>3108</v>
      </c>
      <c r="B33" s="3" t="s">
        <v>25</v>
      </c>
      <c r="C33" s="6">
        <v>1.45</v>
      </c>
      <c r="D33" s="13"/>
      <c r="E33" s="5"/>
      <c r="G33" s="3">
        <v>4311</v>
      </c>
      <c r="H33" s="3" t="s">
        <v>76</v>
      </c>
      <c r="I33" s="31">
        <v>4.37</v>
      </c>
      <c r="J33" s="13"/>
      <c r="K33" s="5">
        <f t="shared" si="2"/>
        <v>0</v>
      </c>
    </row>
    <row r="34" spans="1:11" ht="15" customHeight="1" x14ac:dyDescent="0.25">
      <c r="A34" s="3">
        <v>3109</v>
      </c>
      <c r="B34" s="3" t="s">
        <v>26</v>
      </c>
      <c r="C34" s="6">
        <v>1.45</v>
      </c>
      <c r="D34" s="13"/>
      <c r="E34" s="5"/>
      <c r="G34" s="3">
        <v>4312</v>
      </c>
      <c r="H34" s="3" t="s">
        <v>77</v>
      </c>
      <c r="I34" s="31">
        <v>4.37</v>
      </c>
      <c r="J34" s="13"/>
      <c r="K34" s="5">
        <f t="shared" si="2"/>
        <v>0</v>
      </c>
    </row>
    <row r="35" spans="1:11" ht="15" customHeight="1" x14ac:dyDescent="0.25">
      <c r="A35" s="3">
        <v>3111</v>
      </c>
      <c r="B35" s="3" t="s">
        <v>27</v>
      </c>
      <c r="C35" s="6">
        <v>1.45</v>
      </c>
      <c r="D35" s="13"/>
      <c r="E35" s="5"/>
      <c r="G35" s="3">
        <v>4313</v>
      </c>
      <c r="H35" s="3" t="s">
        <v>78</v>
      </c>
      <c r="I35" s="31">
        <v>4.37</v>
      </c>
      <c r="J35" s="13"/>
      <c r="K35" s="5">
        <f t="shared" si="2"/>
        <v>0</v>
      </c>
    </row>
    <row r="36" spans="1:11" ht="15" customHeight="1" x14ac:dyDescent="0.25">
      <c r="A36" s="3">
        <v>3112</v>
      </c>
      <c r="B36" s="3" t="s">
        <v>28</v>
      </c>
      <c r="C36" s="6">
        <v>1.45</v>
      </c>
      <c r="D36" s="13"/>
      <c r="E36" s="5"/>
      <c r="G36" s="3">
        <v>4314</v>
      </c>
      <c r="H36" s="3" t="s">
        <v>79</v>
      </c>
      <c r="I36" s="31">
        <v>4.37</v>
      </c>
      <c r="J36" s="13"/>
      <c r="K36" s="5">
        <f t="shared" si="2"/>
        <v>0</v>
      </c>
    </row>
    <row r="37" spans="1:11" ht="15" customHeight="1" x14ac:dyDescent="0.25">
      <c r="A37" s="3">
        <v>3113</v>
      </c>
      <c r="B37" s="3" t="s">
        <v>29</v>
      </c>
      <c r="C37" s="6">
        <v>1.9</v>
      </c>
      <c r="D37" s="13"/>
      <c r="E37" s="5"/>
      <c r="G37" s="3">
        <v>4315</v>
      </c>
      <c r="H37" s="3" t="s">
        <v>80</v>
      </c>
      <c r="I37" s="31">
        <v>4.37</v>
      </c>
      <c r="J37" s="13"/>
      <c r="K37" s="5">
        <f t="shared" si="2"/>
        <v>0</v>
      </c>
    </row>
    <row r="38" spans="1:11" ht="15" customHeight="1" x14ac:dyDescent="0.25">
      <c r="A38" s="3">
        <v>3114</v>
      </c>
      <c r="B38" s="3" t="s">
        <v>30</v>
      </c>
      <c r="C38" s="6">
        <v>1.45</v>
      </c>
      <c r="D38" s="13"/>
      <c r="E38" s="5"/>
      <c r="G38" s="3">
        <v>4316</v>
      </c>
      <c r="H38" s="3" t="s">
        <v>81</v>
      </c>
      <c r="I38" s="31">
        <v>4.37</v>
      </c>
      <c r="J38" s="13"/>
      <c r="K38" s="5">
        <f t="shared" si="2"/>
        <v>0</v>
      </c>
    </row>
    <row r="39" spans="1:11" ht="15" customHeight="1" x14ac:dyDescent="0.25">
      <c r="A39" s="3">
        <v>3115</v>
      </c>
      <c r="B39" s="3" t="s">
        <v>31</v>
      </c>
      <c r="C39" s="6">
        <v>1.45</v>
      </c>
      <c r="D39" s="13"/>
      <c r="E39" s="5"/>
      <c r="G39" s="3">
        <v>4317</v>
      </c>
      <c r="H39" s="3" t="s">
        <v>82</v>
      </c>
      <c r="I39" s="31">
        <v>4.37</v>
      </c>
      <c r="J39" s="13"/>
      <c r="K39" s="5">
        <f t="shared" si="2"/>
        <v>0</v>
      </c>
    </row>
    <row r="40" spans="1:11" ht="15" customHeight="1" x14ac:dyDescent="0.25">
      <c r="A40" s="3">
        <v>3116</v>
      </c>
      <c r="B40" s="3" t="s">
        <v>32</v>
      </c>
      <c r="C40" s="6">
        <v>1.45</v>
      </c>
      <c r="D40" s="13"/>
      <c r="E40" s="5"/>
      <c r="G40" s="3">
        <v>4318</v>
      </c>
      <c r="H40" s="3" t="s">
        <v>83</v>
      </c>
      <c r="I40" s="31">
        <v>4.37</v>
      </c>
      <c r="J40" s="13"/>
      <c r="K40" s="5">
        <f t="shared" si="2"/>
        <v>0</v>
      </c>
    </row>
    <row r="41" spans="1:11" ht="15" customHeight="1" x14ac:dyDescent="0.25">
      <c r="A41" s="3">
        <v>3117</v>
      </c>
      <c r="B41" s="3" t="s">
        <v>33</v>
      </c>
      <c r="C41" s="6">
        <v>1.9</v>
      </c>
      <c r="D41" s="13"/>
      <c r="E41" s="5"/>
      <c r="G41" s="3">
        <v>4319</v>
      </c>
      <c r="H41" s="3" t="s">
        <v>84</v>
      </c>
      <c r="I41" s="31">
        <v>4.37</v>
      </c>
      <c r="J41" s="13"/>
      <c r="K41" s="5">
        <f t="shared" si="2"/>
        <v>0</v>
      </c>
    </row>
    <row r="42" spans="1:11" ht="15" customHeight="1" x14ac:dyDescent="0.25">
      <c r="A42" s="3">
        <v>3119</v>
      </c>
      <c r="B42" s="3" t="s">
        <v>34</v>
      </c>
      <c r="C42" s="6">
        <v>1.45</v>
      </c>
      <c r="D42" s="13"/>
      <c r="E42" s="5"/>
      <c r="G42" s="3">
        <v>4320</v>
      </c>
      <c r="H42" s="3" t="s">
        <v>85</v>
      </c>
      <c r="I42" s="31">
        <v>4.37</v>
      </c>
      <c r="J42" s="13"/>
      <c r="K42" s="5">
        <f t="shared" si="2"/>
        <v>0</v>
      </c>
    </row>
    <row r="43" spans="1:11" ht="15" customHeight="1" x14ac:dyDescent="0.25">
      <c r="A43" s="3">
        <v>3120</v>
      </c>
      <c r="B43" s="3" t="s">
        <v>35</v>
      </c>
      <c r="C43" s="6">
        <v>1.45</v>
      </c>
      <c r="D43" s="13"/>
      <c r="E43" s="5"/>
      <c r="G43" s="3">
        <v>4321</v>
      </c>
      <c r="H43" s="3" t="s">
        <v>86</v>
      </c>
      <c r="I43" s="31">
        <v>4.37</v>
      </c>
      <c r="J43" s="13"/>
      <c r="K43" s="5">
        <f t="shared" si="2"/>
        <v>0</v>
      </c>
    </row>
    <row r="44" spans="1:11" ht="15" customHeight="1" x14ac:dyDescent="0.25">
      <c r="A44" s="3">
        <v>3121</v>
      </c>
      <c r="B44" s="3" t="s">
        <v>36</v>
      </c>
      <c r="C44" s="6">
        <v>1.9</v>
      </c>
      <c r="D44" s="13"/>
      <c r="E44" s="5"/>
      <c r="G44" s="3">
        <v>4322</v>
      </c>
      <c r="H44" s="3" t="s">
        <v>87</v>
      </c>
      <c r="I44" s="31">
        <v>4.37</v>
      </c>
      <c r="J44" s="13"/>
      <c r="K44" s="5">
        <f t="shared" si="2"/>
        <v>0</v>
      </c>
    </row>
    <row r="45" spans="1:11" ht="15" customHeight="1" x14ac:dyDescent="0.25">
      <c r="A45" s="3">
        <v>3122</v>
      </c>
      <c r="B45" s="3" t="s">
        <v>37</v>
      </c>
      <c r="C45" s="6">
        <v>1.45</v>
      </c>
      <c r="D45" s="13"/>
      <c r="E45" s="5"/>
      <c r="G45" s="3">
        <v>4323</v>
      </c>
      <c r="H45" s="3" t="s">
        <v>88</v>
      </c>
      <c r="I45" s="31">
        <v>4.37</v>
      </c>
      <c r="J45" s="13"/>
      <c r="K45" s="5">
        <f t="shared" si="2"/>
        <v>0</v>
      </c>
    </row>
    <row r="46" spans="1:11" ht="15" customHeight="1" x14ac:dyDescent="0.25">
      <c r="A46" s="3">
        <v>3123</v>
      </c>
      <c r="B46" s="3" t="s">
        <v>38</v>
      </c>
      <c r="C46" s="6">
        <v>1.45</v>
      </c>
      <c r="D46" s="13"/>
      <c r="E46" s="5"/>
      <c r="G46" s="3">
        <v>4324</v>
      </c>
      <c r="H46" s="3" t="s">
        <v>89</v>
      </c>
      <c r="I46" s="31">
        <v>4.37</v>
      </c>
      <c r="J46" s="13"/>
      <c r="K46" s="5">
        <f t="shared" si="2"/>
        <v>0</v>
      </c>
    </row>
    <row r="47" spans="1:11" ht="15" customHeight="1" x14ac:dyDescent="0.25">
      <c r="A47" s="3">
        <v>3124</v>
      </c>
      <c r="B47" s="3" t="s">
        <v>39</v>
      </c>
      <c r="C47" s="6">
        <f t="shared" ref="C47" si="3">VLOOKUP(A47,priceBook,3)*5</f>
        <v>2.8000000000000003</v>
      </c>
      <c r="D47" s="13"/>
      <c r="E47" s="5"/>
      <c r="G47" s="3">
        <v>4325</v>
      </c>
      <c r="H47" s="3" t="s">
        <v>90</v>
      </c>
      <c r="I47" s="31">
        <v>4.37</v>
      </c>
      <c r="J47" s="13"/>
      <c r="K47" s="5">
        <f t="shared" si="2"/>
        <v>0</v>
      </c>
    </row>
    <row r="48" spans="1:11" ht="15" customHeight="1" x14ac:dyDescent="0.25">
      <c r="A48" s="3">
        <v>3126</v>
      </c>
      <c r="B48" s="3" t="s">
        <v>40</v>
      </c>
      <c r="C48" s="6">
        <v>1.45</v>
      </c>
      <c r="D48" s="13"/>
      <c r="E48" s="5"/>
      <c r="G48" s="3">
        <v>4326</v>
      </c>
      <c r="H48" s="3" t="s">
        <v>91</v>
      </c>
      <c r="I48" s="31">
        <v>4.37</v>
      </c>
      <c r="J48" s="13"/>
      <c r="K48" s="5">
        <f t="shared" si="2"/>
        <v>0</v>
      </c>
    </row>
    <row r="49" spans="1:11" ht="15" customHeight="1" x14ac:dyDescent="0.25">
      <c r="A49" s="3">
        <v>3127</v>
      </c>
      <c r="B49" s="3" t="s">
        <v>41</v>
      </c>
      <c r="C49" s="6">
        <v>1.9</v>
      </c>
      <c r="D49" s="13"/>
      <c r="E49" s="5"/>
      <c r="G49" s="3">
        <v>4327</v>
      </c>
      <c r="H49" s="3" t="s">
        <v>92</v>
      </c>
      <c r="I49" s="31">
        <v>4.37</v>
      </c>
      <c r="J49" s="13"/>
      <c r="K49" s="5">
        <f t="shared" si="2"/>
        <v>0</v>
      </c>
    </row>
    <row r="50" spans="1:11" ht="15" customHeight="1" x14ac:dyDescent="0.25">
      <c r="A50" s="3">
        <v>3128</v>
      </c>
      <c r="B50" s="3" t="s">
        <v>42</v>
      </c>
      <c r="C50" s="6">
        <v>2.2000000000000002</v>
      </c>
      <c r="D50" s="13"/>
      <c r="E50" s="5"/>
      <c r="G50" s="3">
        <v>4328</v>
      </c>
      <c r="H50" s="3" t="s">
        <v>93</v>
      </c>
      <c r="I50" s="31">
        <v>4.37</v>
      </c>
      <c r="J50" s="13"/>
      <c r="K50" s="5">
        <f t="shared" si="2"/>
        <v>0</v>
      </c>
    </row>
    <row r="51" spans="1:11" ht="15" customHeight="1" x14ac:dyDescent="0.25">
      <c r="A51" s="3">
        <v>3129</v>
      </c>
      <c r="B51" s="3" t="s">
        <v>43</v>
      </c>
      <c r="C51" s="6">
        <v>1.45</v>
      </c>
      <c r="D51" s="13"/>
      <c r="E51" s="5">
        <f t="shared" ref="E51:E52" si="4">C51*D51</f>
        <v>0</v>
      </c>
      <c r="G51" s="3">
        <v>4329</v>
      </c>
      <c r="H51" s="3" t="s">
        <v>94</v>
      </c>
      <c r="I51" s="31">
        <v>4.37</v>
      </c>
      <c r="J51" s="13"/>
      <c r="K51" s="5">
        <f t="shared" si="2"/>
        <v>0</v>
      </c>
    </row>
    <row r="52" spans="1:11" ht="15" customHeight="1" x14ac:dyDescent="0.25">
      <c r="A52" s="3">
        <v>1604</v>
      </c>
      <c r="B52" s="3" t="s">
        <v>44</v>
      </c>
      <c r="C52" s="6">
        <v>2.4</v>
      </c>
      <c r="D52" s="13"/>
      <c r="E52" s="5">
        <f t="shared" si="4"/>
        <v>0</v>
      </c>
      <c r="G52" s="3">
        <v>4330</v>
      </c>
      <c r="H52" s="3" t="s">
        <v>95</v>
      </c>
      <c r="I52" s="31">
        <v>4.37</v>
      </c>
      <c r="J52" s="13"/>
      <c r="K52" s="5">
        <f t="shared" si="2"/>
        <v>0</v>
      </c>
    </row>
    <row r="53" spans="1:11" ht="15" customHeight="1" x14ac:dyDescent="0.25">
      <c r="C53" s="9"/>
      <c r="E53" s="2"/>
      <c r="G53" s="3">
        <v>4399</v>
      </c>
      <c r="H53" s="3" t="s">
        <v>65</v>
      </c>
      <c r="I53" s="31">
        <v>4.37</v>
      </c>
      <c r="J53" s="13"/>
      <c r="K53" s="5">
        <f t="shared" si="2"/>
        <v>0</v>
      </c>
    </row>
    <row r="54" spans="1:11" x14ac:dyDescent="0.25">
      <c r="C54" s="9"/>
      <c r="D54" s="7" t="s">
        <v>98</v>
      </c>
      <c r="E54" s="5">
        <f>SUM(E28:E52)</f>
        <v>0</v>
      </c>
      <c r="I54" s="1"/>
    </row>
    <row r="55" spans="1:11" ht="18" thickBot="1" x14ac:dyDescent="0.35">
      <c r="A55" s="23" t="s">
        <v>45</v>
      </c>
      <c r="B55" s="8"/>
      <c r="C55" s="8"/>
      <c r="D55" s="8"/>
      <c r="E55" s="10"/>
      <c r="I55" s="1"/>
      <c r="J55" s="7" t="s">
        <v>100</v>
      </c>
      <c r="K55" s="5">
        <f>SUM(K22:K53)</f>
        <v>0</v>
      </c>
    </row>
    <row r="56" spans="1:11" ht="15.75" thickTop="1" x14ac:dyDescent="0.25">
      <c r="A56" s="3">
        <v>2202</v>
      </c>
      <c r="B56" s="3" t="s">
        <v>46</v>
      </c>
      <c r="C56" s="6">
        <v>0.28999999999999998</v>
      </c>
      <c r="D56" s="13"/>
      <c r="E56" s="5">
        <f>C56*D56</f>
        <v>0</v>
      </c>
      <c r="I56" s="1"/>
      <c r="J56" s="7"/>
      <c r="K56" s="2"/>
    </row>
    <row r="57" spans="1:11" x14ac:dyDescent="0.25">
      <c r="A57" s="3">
        <v>2203</v>
      </c>
      <c r="B57" s="3" t="s">
        <v>47</v>
      </c>
      <c r="C57" s="6">
        <v>0.28999999999999998</v>
      </c>
      <c r="D57" s="13"/>
      <c r="E57" s="5">
        <f t="shared" ref="E57:E67" si="5">C57*D57</f>
        <v>0</v>
      </c>
      <c r="I57" s="1"/>
    </row>
    <row r="58" spans="1:11" x14ac:dyDescent="0.25">
      <c r="A58" s="3">
        <v>2204</v>
      </c>
      <c r="B58" s="3" t="s">
        <v>48</v>
      </c>
      <c r="C58" s="6">
        <v>0.28999999999999998</v>
      </c>
      <c r="D58" s="13"/>
      <c r="E58" s="5">
        <f t="shared" si="5"/>
        <v>0</v>
      </c>
      <c r="I58" s="15"/>
      <c r="J58" s="27" t="s">
        <v>108</v>
      </c>
      <c r="K58" s="5">
        <f>E26+E54+E69+K19+K55</f>
        <v>0</v>
      </c>
    </row>
    <row r="59" spans="1:11" x14ac:dyDescent="0.25">
      <c r="A59" s="3">
        <v>2205</v>
      </c>
      <c r="B59" s="3" t="s">
        <v>49</v>
      </c>
      <c r="C59" s="6">
        <v>0.38</v>
      </c>
      <c r="D59" s="13"/>
      <c r="E59" s="5"/>
      <c r="I59" s="15"/>
    </row>
    <row r="60" spans="1:11" x14ac:dyDescent="0.25">
      <c r="A60" s="3">
        <v>2206</v>
      </c>
      <c r="B60" s="3" t="s">
        <v>121</v>
      </c>
      <c r="C60" s="6">
        <v>0.38</v>
      </c>
      <c r="D60" s="13"/>
      <c r="E60" s="5">
        <f t="shared" si="5"/>
        <v>0</v>
      </c>
      <c r="H60" s="19" t="s">
        <v>109</v>
      </c>
      <c r="I60" s="20" t="s">
        <v>111</v>
      </c>
      <c r="J60" s="19" t="s">
        <v>111</v>
      </c>
    </row>
    <row r="61" spans="1:11" x14ac:dyDescent="0.25">
      <c r="A61" s="3">
        <v>2207</v>
      </c>
      <c r="B61" s="3" t="s">
        <v>117</v>
      </c>
      <c r="C61" s="6">
        <v>0.38</v>
      </c>
      <c r="D61" s="13"/>
      <c r="E61" s="5">
        <f t="shared" si="5"/>
        <v>0</v>
      </c>
      <c r="H61" s="21" t="s">
        <v>110</v>
      </c>
      <c r="I61" s="22" t="s">
        <v>112</v>
      </c>
      <c r="J61" s="21" t="s">
        <v>113</v>
      </c>
    </row>
    <row r="62" spans="1:11" x14ac:dyDescent="0.25">
      <c r="A62" s="3">
        <v>2306</v>
      </c>
      <c r="B62" s="3" t="s">
        <v>122</v>
      </c>
      <c r="C62" s="6">
        <v>0.37</v>
      </c>
      <c r="D62" s="13"/>
      <c r="E62" s="5">
        <f t="shared" si="5"/>
        <v>0</v>
      </c>
      <c r="H62" s="17"/>
      <c r="I62" s="18"/>
      <c r="J62" s="17"/>
    </row>
    <row r="63" spans="1:11" x14ac:dyDescent="0.25">
      <c r="A63" s="3">
        <v>3110</v>
      </c>
      <c r="B63" s="3" t="s">
        <v>50</v>
      </c>
      <c r="C63" s="6">
        <v>0.95</v>
      </c>
      <c r="D63" s="13"/>
      <c r="E63" s="5">
        <f>C63*D63</f>
        <v>0</v>
      </c>
      <c r="H63" s="16"/>
      <c r="I63" s="16"/>
      <c r="J63" s="16"/>
    </row>
    <row r="64" spans="1:11" x14ac:dyDescent="0.25">
      <c r="A64" s="3">
        <v>3118</v>
      </c>
      <c r="B64" s="3" t="s">
        <v>51</v>
      </c>
      <c r="C64" s="6">
        <v>1.1499999999999999</v>
      </c>
      <c r="D64" s="13"/>
      <c r="E64" s="5">
        <f t="shared" si="5"/>
        <v>0</v>
      </c>
    </row>
    <row r="65" spans="1:11" x14ac:dyDescent="0.25">
      <c r="A65" s="3">
        <v>3124</v>
      </c>
      <c r="B65" s="3" t="s">
        <v>118</v>
      </c>
      <c r="C65" s="6">
        <f t="shared" ref="C65" si="6">VLOOKUP(A65,priceBook,3)*1</f>
        <v>0.56000000000000005</v>
      </c>
      <c r="D65" s="13"/>
      <c r="E65" s="5">
        <f t="shared" si="5"/>
        <v>0</v>
      </c>
    </row>
    <row r="66" spans="1:11" x14ac:dyDescent="0.25">
      <c r="A66" s="3">
        <v>1601</v>
      </c>
      <c r="B66" s="3" t="s">
        <v>52</v>
      </c>
      <c r="C66" s="6">
        <v>1.1499999999999999</v>
      </c>
      <c r="D66" s="13"/>
      <c r="E66" s="5">
        <f t="shared" si="5"/>
        <v>0</v>
      </c>
    </row>
    <row r="67" spans="1:11" x14ac:dyDescent="0.25">
      <c r="A67" s="3">
        <v>1603</v>
      </c>
      <c r="B67" s="3" t="s">
        <v>53</v>
      </c>
      <c r="C67" s="6">
        <v>3.4</v>
      </c>
      <c r="D67" s="13"/>
      <c r="E67" s="5">
        <f t="shared" si="5"/>
        <v>0</v>
      </c>
    </row>
    <row r="69" spans="1:11" x14ac:dyDescent="0.25">
      <c r="D69" s="7" t="s">
        <v>99</v>
      </c>
      <c r="E69" s="5">
        <f>SUM(E56:E67)</f>
        <v>0</v>
      </c>
      <c r="G69" s="7" t="s">
        <v>115</v>
      </c>
      <c r="H69" s="12"/>
      <c r="J69" s="7" t="s">
        <v>114</v>
      </c>
      <c r="K69" s="12"/>
    </row>
  </sheetData>
  <sheetProtection sheet="1" selectLockedCells="1"/>
  <mergeCells count="7">
    <mergeCell ref="H5:K5"/>
    <mergeCell ref="B1:E2"/>
    <mergeCell ref="A3:E4"/>
    <mergeCell ref="H1:K1"/>
    <mergeCell ref="H2:K2"/>
    <mergeCell ref="H3:K3"/>
    <mergeCell ref="H4:K4"/>
  </mergeCells>
  <pageMargins left="0.25" right="0.25" top="0.75" bottom="0.75" header="0.3" footer="0.3"/>
  <pageSetup scale="67" orientation="portrait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D14FB-741A-41E0-8D2B-3A6D94E052BB}">
  <dimension ref="A1:U112"/>
  <sheetViews>
    <sheetView zoomScale="115" zoomScaleNormal="115" workbookViewId="0">
      <pane ySplit="1" topLeftCell="A48" activePane="bottomLeft" state="frozen"/>
      <selection pane="bottomLeft" activeCell="M56" sqref="M56"/>
    </sheetView>
  </sheetViews>
  <sheetFormatPr defaultColWidth="8.85546875" defaultRowHeight="15" x14ac:dyDescent="0.25"/>
  <cols>
    <col min="1" max="1" width="5.85546875" bestFit="1" customWidth="1"/>
    <col min="2" max="2" width="44.7109375" bestFit="1" customWidth="1"/>
    <col min="3" max="3" width="11.42578125" customWidth="1"/>
    <col min="4" max="8" width="14" customWidth="1"/>
    <col min="9" max="9" width="16" customWidth="1"/>
    <col min="10" max="10" width="12.28515625" customWidth="1"/>
    <col min="11" max="11" width="10.85546875" bestFit="1" customWidth="1"/>
    <col min="12" max="12" width="10.85546875" customWidth="1"/>
    <col min="15" max="15" width="10.140625" style="29" bestFit="1" customWidth="1"/>
    <col min="16" max="18" width="0" hidden="1" customWidth="1"/>
    <col min="19" max="20" width="9.42578125" hidden="1" customWidth="1"/>
    <col min="21" max="22" width="0" hidden="1" customWidth="1"/>
  </cols>
  <sheetData>
    <row r="1" spans="1:21" x14ac:dyDescent="0.25">
      <c r="A1" t="s">
        <v>0</v>
      </c>
      <c r="B1" t="s">
        <v>124</v>
      </c>
      <c r="C1" t="s">
        <v>125</v>
      </c>
      <c r="D1" t="s">
        <v>195</v>
      </c>
      <c r="E1" t="s">
        <v>196</v>
      </c>
      <c r="F1" t="s">
        <v>197</v>
      </c>
      <c r="G1" t="s">
        <v>198</v>
      </c>
      <c r="H1" t="s">
        <v>199</v>
      </c>
      <c r="I1" t="s">
        <v>189</v>
      </c>
      <c r="J1" t="s">
        <v>188</v>
      </c>
      <c r="K1" t="s">
        <v>123</v>
      </c>
      <c r="M1" t="s">
        <v>200</v>
      </c>
      <c r="N1" t="s">
        <v>111</v>
      </c>
      <c r="O1" s="29" t="s">
        <v>193</v>
      </c>
      <c r="S1" t="s">
        <v>193</v>
      </c>
      <c r="T1" t="s">
        <v>2</v>
      </c>
      <c r="U1" t="s">
        <v>194</v>
      </c>
    </row>
    <row r="2" spans="1:21" ht="30" customHeight="1" x14ac:dyDescent="0.25">
      <c r="A2">
        <v>1101</v>
      </c>
      <c r="B2" t="s">
        <v>160</v>
      </c>
      <c r="C2">
        <v>13.6</v>
      </c>
      <c r="D2" s="28">
        <v>20</v>
      </c>
      <c r="E2">
        <v>13</v>
      </c>
      <c r="F2" s="28">
        <f>priceTable[[#This Row],[Start - Sep]]-priceTable[[#This Row],[Sold - Sep]]</f>
        <v>7</v>
      </c>
      <c r="G2">
        <v>1</v>
      </c>
      <c r="H2" s="33">
        <f>priceTable[[#This Row],[Start - Oct]]-priceTable[[#This Row],[Sold - Oct]]</f>
        <v>6</v>
      </c>
      <c r="I2">
        <v>14.25</v>
      </c>
      <c r="J2">
        <v>1</v>
      </c>
      <c r="K2" t="s">
        <v>5</v>
      </c>
      <c r="M2" s="32">
        <v>20</v>
      </c>
      <c r="N2">
        <f>IF(priceTable[[#This Row],[Start - Nov]]&gt;M2,0,M2-priceTable[[#This Row],[Start - Nov]])</f>
        <v>14</v>
      </c>
      <c r="O2" s="29">
        <f>(N2/priceTable[[#This Row],[Sold Units]])*priceTable[[#This Row],[Unit Cost]]</f>
        <v>190.4</v>
      </c>
      <c r="P2">
        <f>0+11+2</f>
        <v>13</v>
      </c>
      <c r="R2">
        <f>priceTable[[#This Row],[Start - Sep]]-P2</f>
        <v>7</v>
      </c>
      <c r="S2" s="29">
        <f>R2*priceTable[[#This Row],[Unit Cost]]</f>
        <v>95.2</v>
      </c>
      <c r="T2" s="29">
        <f>(R2/priceTable[[#This Row],[Sold Units]])*priceTable[[#This Row],[Member Price]]</f>
        <v>99.75</v>
      </c>
      <c r="U2" s="30">
        <f>T2-S2</f>
        <v>4.5499999999999972</v>
      </c>
    </row>
    <row r="3" spans="1:21" ht="30" customHeight="1" x14ac:dyDescent="0.25">
      <c r="A3">
        <v>1110</v>
      </c>
      <c r="B3" t="s">
        <v>163</v>
      </c>
      <c r="C3">
        <v>16.25</v>
      </c>
      <c r="D3" s="28">
        <v>3</v>
      </c>
      <c r="F3" s="28">
        <f>priceTable[[#This Row],[Start - Sep]]-priceTable[[#This Row],[Sold - Sep]]</f>
        <v>3</v>
      </c>
      <c r="G3">
        <v>2</v>
      </c>
      <c r="H3" s="33">
        <f>priceTable[[#This Row],[Start - Oct]]-priceTable[[#This Row],[Sold - Oct]]</f>
        <v>1</v>
      </c>
      <c r="I3">
        <v>16.75</v>
      </c>
      <c r="J3">
        <v>1</v>
      </c>
      <c r="K3" t="s">
        <v>5</v>
      </c>
      <c r="M3" s="32">
        <v>24</v>
      </c>
      <c r="N3">
        <f>IF(priceTable[[#This Row],[Start - Nov]]&gt;M3,0,M3-priceTable[[#This Row],[Start - Nov]])</f>
        <v>23</v>
      </c>
      <c r="O3" s="29">
        <f>(N3/priceTable[[#This Row],[Sold Units]])*priceTable[[#This Row],[Unit Cost]]</f>
        <v>373.75</v>
      </c>
      <c r="R3">
        <f>priceTable[[#This Row],[Start - Sep]]-P3</f>
        <v>3</v>
      </c>
      <c r="S3" s="29">
        <f>R3*priceTable[[#This Row],[Unit Cost]]</f>
        <v>48.75</v>
      </c>
      <c r="T3" s="29">
        <f>(R3/priceTable[[#This Row],[Sold Units]])*priceTable[[#This Row],[Member Price]]</f>
        <v>50.25</v>
      </c>
      <c r="U3" s="30">
        <f t="shared" ref="U3:U66" si="0">T3-S3</f>
        <v>1.5</v>
      </c>
    </row>
    <row r="4" spans="1:21" ht="30" customHeight="1" x14ac:dyDescent="0.25">
      <c r="A4">
        <v>1112</v>
      </c>
      <c r="B4" t="s">
        <v>164</v>
      </c>
      <c r="C4">
        <v>11.2</v>
      </c>
      <c r="D4" s="28">
        <v>7</v>
      </c>
      <c r="E4">
        <v>2</v>
      </c>
      <c r="F4" s="28">
        <f>priceTable[[#This Row],[Start - Sep]]-priceTable[[#This Row],[Sold - Sep]]</f>
        <v>5</v>
      </c>
      <c r="G4">
        <v>1</v>
      </c>
      <c r="H4" s="33">
        <f>priceTable[[#This Row],[Start - Oct]]-priceTable[[#This Row],[Sold - Oct]]</f>
        <v>4</v>
      </c>
      <c r="I4">
        <v>12</v>
      </c>
      <c r="J4">
        <v>1</v>
      </c>
      <c r="K4" t="s">
        <v>5</v>
      </c>
      <c r="M4" s="32">
        <v>10</v>
      </c>
      <c r="N4">
        <f>IF(priceTable[[#This Row],[Start - Nov]]&gt;M4,0,M4-priceTable[[#This Row],[Start - Nov]])</f>
        <v>6</v>
      </c>
      <c r="O4" s="29">
        <f>(N4/priceTable[[#This Row],[Sold Units]])*priceTable[[#This Row],[Unit Cost]]</f>
        <v>67.199999999999989</v>
      </c>
      <c r="P4">
        <f>0+1+1</f>
        <v>2</v>
      </c>
      <c r="R4">
        <f>priceTable[[#This Row],[Start - Sep]]-P4</f>
        <v>5</v>
      </c>
      <c r="S4" s="29">
        <f>R4*priceTable[[#This Row],[Unit Cost]]</f>
        <v>56</v>
      </c>
      <c r="T4" s="29">
        <f>(R4/priceTable[[#This Row],[Sold Units]])*priceTable[[#This Row],[Member Price]]</f>
        <v>60</v>
      </c>
      <c r="U4" s="30">
        <f t="shared" si="0"/>
        <v>4</v>
      </c>
    </row>
    <row r="5" spans="1:21" ht="30" customHeight="1" x14ac:dyDescent="0.25">
      <c r="A5">
        <v>1121</v>
      </c>
      <c r="B5" t="s">
        <v>120</v>
      </c>
      <c r="C5">
        <v>13.5</v>
      </c>
      <c r="D5" s="28">
        <v>0</v>
      </c>
      <c r="F5" s="28">
        <f>priceTable[[#This Row],[Start - Sep]]-priceTable[[#This Row],[Sold - Sep]]</f>
        <v>0</v>
      </c>
      <c r="H5" s="33">
        <f>priceTable[[#This Row],[Start - Oct]]-priceTable[[#This Row],[Sold - Oct]]</f>
        <v>0</v>
      </c>
      <c r="I5">
        <v>13.75</v>
      </c>
      <c r="J5">
        <v>1</v>
      </c>
      <c r="K5" t="s">
        <v>5</v>
      </c>
      <c r="M5" s="32">
        <v>1</v>
      </c>
      <c r="N5">
        <f>IF(priceTable[[#This Row],[Start - Nov]]&gt;M5,0,M5-priceTable[[#This Row],[Start - Nov]])</f>
        <v>1</v>
      </c>
      <c r="O5" s="29">
        <f>(N5/priceTable[[#This Row],[Sold Units]])*priceTable[[#This Row],[Unit Cost]]</f>
        <v>13.5</v>
      </c>
      <c r="R5">
        <f>priceTable[[#This Row],[Start - Sep]]-P5</f>
        <v>0</v>
      </c>
      <c r="S5" s="29">
        <f>R5*priceTable[[#This Row],[Unit Cost]]</f>
        <v>0</v>
      </c>
      <c r="T5" s="29">
        <f>(R5/priceTable[[#This Row],[Sold Units]])*priceTable[[#This Row],[Member Price]]</f>
        <v>0</v>
      </c>
      <c r="U5" s="30">
        <f t="shared" si="0"/>
        <v>0</v>
      </c>
    </row>
    <row r="6" spans="1:21" ht="30" customHeight="1" x14ac:dyDescent="0.25">
      <c r="A6">
        <v>1130</v>
      </c>
      <c r="B6" t="s">
        <v>161</v>
      </c>
      <c r="C6">
        <v>10.4</v>
      </c>
      <c r="D6" s="28">
        <v>3</v>
      </c>
      <c r="F6" s="28">
        <f>priceTable[[#This Row],[Start - Sep]]-priceTable[[#This Row],[Sold - Sep]]</f>
        <v>3</v>
      </c>
      <c r="H6" s="33">
        <f>priceTable[[#This Row],[Start - Oct]]-priceTable[[#This Row],[Sold - Oct]]</f>
        <v>3</v>
      </c>
      <c r="I6">
        <v>11</v>
      </c>
      <c r="J6">
        <v>1</v>
      </c>
      <c r="K6" t="s">
        <v>5</v>
      </c>
      <c r="M6" s="32">
        <v>5</v>
      </c>
      <c r="N6">
        <f>IF(priceTable[[#This Row],[Start - Nov]]&gt;M6,0,M6-priceTable[[#This Row],[Start - Nov]])</f>
        <v>2</v>
      </c>
      <c r="O6" s="29">
        <f>(N6/priceTable[[#This Row],[Sold Units]])*priceTable[[#This Row],[Unit Cost]]</f>
        <v>20.8</v>
      </c>
      <c r="R6">
        <f>priceTable[[#This Row],[Start - Sep]]-P6</f>
        <v>3</v>
      </c>
      <c r="S6" s="29">
        <f>R6*priceTable[[#This Row],[Unit Cost]]</f>
        <v>31.200000000000003</v>
      </c>
      <c r="T6" s="29">
        <f>(R6/priceTable[[#This Row],[Sold Units]])*priceTable[[#This Row],[Member Price]]</f>
        <v>33</v>
      </c>
      <c r="U6" s="30">
        <f t="shared" si="0"/>
        <v>1.7999999999999972</v>
      </c>
    </row>
    <row r="7" spans="1:21" ht="30" customHeight="1" x14ac:dyDescent="0.25">
      <c r="A7">
        <v>1140</v>
      </c>
      <c r="B7" t="s">
        <v>162</v>
      </c>
      <c r="C7">
        <v>11.2</v>
      </c>
      <c r="D7" s="28">
        <v>11</v>
      </c>
      <c r="E7">
        <v>1</v>
      </c>
      <c r="F7" s="28">
        <f>priceTable[[#This Row],[Start - Sep]]-priceTable[[#This Row],[Sold - Sep]]</f>
        <v>10</v>
      </c>
      <c r="H7" s="33">
        <f>priceTable[[#This Row],[Start - Oct]]-priceTable[[#This Row],[Sold - Oct]]</f>
        <v>10</v>
      </c>
      <c r="I7">
        <v>11.75</v>
      </c>
      <c r="J7">
        <v>1</v>
      </c>
      <c r="K7" t="s">
        <v>5</v>
      </c>
      <c r="M7" s="32">
        <v>20</v>
      </c>
      <c r="N7">
        <f>IF(priceTable[[#This Row],[Start - Nov]]&gt;M7,0,M7-priceTable[[#This Row],[Start - Nov]])</f>
        <v>10</v>
      </c>
      <c r="O7" s="29">
        <f>(N7/priceTable[[#This Row],[Sold Units]])*priceTable[[#This Row],[Unit Cost]]</f>
        <v>112</v>
      </c>
      <c r="P7">
        <v>1</v>
      </c>
      <c r="R7">
        <f>priceTable[[#This Row],[Start - Sep]]-P7</f>
        <v>10</v>
      </c>
      <c r="S7" s="29">
        <f>R7*priceTable[[#This Row],[Unit Cost]]</f>
        <v>112</v>
      </c>
      <c r="T7" s="29">
        <f>(R7/priceTable[[#This Row],[Sold Units]])*priceTable[[#This Row],[Member Price]]</f>
        <v>117.5</v>
      </c>
      <c r="U7" s="30">
        <f t="shared" si="0"/>
        <v>5.5</v>
      </c>
    </row>
    <row r="8" spans="1:21" ht="30" customHeight="1" x14ac:dyDescent="0.25">
      <c r="A8">
        <v>1150</v>
      </c>
      <c r="B8" t="s">
        <v>165</v>
      </c>
      <c r="C8">
        <v>12.15</v>
      </c>
      <c r="D8" s="28">
        <v>17</v>
      </c>
      <c r="E8">
        <v>1</v>
      </c>
      <c r="F8" s="28">
        <f>priceTable[[#This Row],[Start - Sep]]-priceTable[[#This Row],[Sold - Sep]]</f>
        <v>16</v>
      </c>
      <c r="G8">
        <v>1</v>
      </c>
      <c r="H8" s="33">
        <f>priceTable[[#This Row],[Start - Oct]]-priceTable[[#This Row],[Sold - Oct]]</f>
        <v>15</v>
      </c>
      <c r="I8">
        <v>12.75</v>
      </c>
      <c r="J8">
        <v>1</v>
      </c>
      <c r="K8" t="s">
        <v>5</v>
      </c>
      <c r="M8" s="32">
        <v>20</v>
      </c>
      <c r="N8">
        <f>IF(priceTable[[#This Row],[Start - Nov]]&gt;M8,0,M8-priceTable[[#This Row],[Start - Nov]])</f>
        <v>5</v>
      </c>
      <c r="O8" s="29">
        <f>(N8/priceTable[[#This Row],[Sold Units]])*priceTable[[#This Row],[Unit Cost]]</f>
        <v>60.75</v>
      </c>
      <c r="P8">
        <f>0+1</f>
        <v>1</v>
      </c>
      <c r="R8">
        <f>priceTable[[#This Row],[Start - Sep]]-P8</f>
        <v>16</v>
      </c>
      <c r="S8" s="29">
        <f>R8*priceTable[[#This Row],[Unit Cost]]</f>
        <v>194.4</v>
      </c>
      <c r="T8" s="29">
        <f>(R8/priceTable[[#This Row],[Sold Units]])*priceTable[[#This Row],[Member Price]]</f>
        <v>204</v>
      </c>
      <c r="U8" s="30">
        <f t="shared" si="0"/>
        <v>9.5999999999999943</v>
      </c>
    </row>
    <row r="9" spans="1:21" ht="30" customHeight="1" x14ac:dyDescent="0.25">
      <c r="A9">
        <v>1164</v>
      </c>
      <c r="B9" t="s">
        <v>158</v>
      </c>
      <c r="C9">
        <v>2.2000000000000002</v>
      </c>
      <c r="D9" s="28">
        <v>2</v>
      </c>
      <c r="F9" s="28">
        <f>priceTable[[#This Row],[Start - Sep]]-priceTable[[#This Row],[Sold - Sep]]</f>
        <v>2</v>
      </c>
      <c r="G9">
        <v>1</v>
      </c>
      <c r="H9" s="33">
        <f>priceTable[[#This Row],[Start - Oct]]-priceTable[[#This Row],[Sold - Oct]]</f>
        <v>1</v>
      </c>
      <c r="I9">
        <v>2.35</v>
      </c>
      <c r="J9">
        <v>1</v>
      </c>
      <c r="K9" t="s">
        <v>5</v>
      </c>
      <c r="M9" s="32">
        <v>5</v>
      </c>
      <c r="N9">
        <f>IF(priceTable[[#This Row],[Start - Nov]]&gt;M9,0,M9-priceTable[[#This Row],[Start - Nov]])</f>
        <v>4</v>
      </c>
      <c r="O9" s="29">
        <f>(N9/priceTable[[#This Row],[Sold Units]])*priceTable[[#This Row],[Unit Cost]]</f>
        <v>8.8000000000000007</v>
      </c>
      <c r="R9">
        <f>priceTable[[#This Row],[Start - Sep]]-P9</f>
        <v>2</v>
      </c>
      <c r="S9" s="29">
        <f>R9*priceTable[[#This Row],[Unit Cost]]</f>
        <v>4.4000000000000004</v>
      </c>
      <c r="T9" s="29">
        <f>(R9/priceTable[[#This Row],[Sold Units]])*priceTable[[#This Row],[Member Price]]</f>
        <v>4.7</v>
      </c>
      <c r="U9" s="30">
        <f t="shared" si="0"/>
        <v>0.29999999999999982</v>
      </c>
    </row>
    <row r="10" spans="1:21" ht="30" customHeight="1" x14ac:dyDescent="0.25">
      <c r="A10">
        <v>1200</v>
      </c>
      <c r="B10" t="s">
        <v>166</v>
      </c>
      <c r="C10">
        <v>2.15</v>
      </c>
      <c r="D10" s="28">
        <v>79</v>
      </c>
      <c r="E10">
        <v>32</v>
      </c>
      <c r="F10" s="28">
        <f>priceTable[[#This Row],[Start - Sep]]-priceTable[[#This Row],[Sold - Sep]]</f>
        <v>47</v>
      </c>
      <c r="G10">
        <v>5</v>
      </c>
      <c r="H10" s="33">
        <f>priceTable[[#This Row],[Start - Oct]]-priceTable[[#This Row],[Sold - Oct]]</f>
        <v>42</v>
      </c>
      <c r="I10">
        <v>2.25</v>
      </c>
      <c r="J10">
        <v>1</v>
      </c>
      <c r="K10" t="s">
        <v>5</v>
      </c>
      <c r="M10" s="32">
        <v>100</v>
      </c>
      <c r="N10">
        <f>IF(priceTable[[#This Row],[Start - Nov]]&gt;M10,0,M10-priceTable[[#This Row],[Start - Nov]])</f>
        <v>58</v>
      </c>
      <c r="O10" s="29">
        <f>(N10/priceTable[[#This Row],[Sold Units]])*priceTable[[#This Row],[Unit Cost]]</f>
        <v>124.69999999999999</v>
      </c>
      <c r="P10">
        <f>22+10</f>
        <v>32</v>
      </c>
      <c r="R10">
        <f>priceTable[[#This Row],[Start - Sep]]-P10</f>
        <v>47</v>
      </c>
      <c r="S10" s="29">
        <f>R10*priceTable[[#This Row],[Unit Cost]]</f>
        <v>101.05</v>
      </c>
      <c r="T10" s="29">
        <f>(R10/priceTable[[#This Row],[Sold Units]])*priceTable[[#This Row],[Member Price]]</f>
        <v>105.75</v>
      </c>
      <c r="U10" s="30">
        <f t="shared" si="0"/>
        <v>4.7000000000000028</v>
      </c>
    </row>
    <row r="11" spans="1:21" ht="30" customHeight="1" x14ac:dyDescent="0.25">
      <c r="A11">
        <v>1201</v>
      </c>
      <c r="B11" t="s">
        <v>167</v>
      </c>
      <c r="C11">
        <v>14</v>
      </c>
      <c r="D11" s="28">
        <v>8</v>
      </c>
      <c r="E11">
        <v>1</v>
      </c>
      <c r="F11" s="28">
        <f>priceTable[[#This Row],[Start - Sep]]-priceTable[[#This Row],[Sold - Sep]]</f>
        <v>7</v>
      </c>
      <c r="H11" s="33">
        <f>priceTable[[#This Row],[Start - Oct]]-priceTable[[#This Row],[Sold - Oct]]</f>
        <v>7</v>
      </c>
      <c r="I11">
        <v>14.75</v>
      </c>
      <c r="J11">
        <v>1</v>
      </c>
      <c r="K11" t="s">
        <v>5</v>
      </c>
      <c r="M11" s="32">
        <v>10</v>
      </c>
      <c r="N11">
        <f>IF(priceTable[[#This Row],[Start - Nov]]&gt;M11,0,M11-priceTable[[#This Row],[Start - Nov]])</f>
        <v>3</v>
      </c>
      <c r="O11" s="29">
        <f>(N11/priceTable[[#This Row],[Sold Units]])*priceTable[[#This Row],[Unit Cost]]</f>
        <v>42</v>
      </c>
      <c r="P11">
        <f>0+1</f>
        <v>1</v>
      </c>
      <c r="R11">
        <f>priceTable[[#This Row],[Start - Sep]]-P11</f>
        <v>7</v>
      </c>
      <c r="S11" s="29">
        <f>R11*priceTable[[#This Row],[Unit Cost]]</f>
        <v>98</v>
      </c>
      <c r="T11" s="29">
        <f>(R11/priceTable[[#This Row],[Sold Units]])*priceTable[[#This Row],[Member Price]]</f>
        <v>103.25</v>
      </c>
      <c r="U11" s="30">
        <f t="shared" si="0"/>
        <v>5.25</v>
      </c>
    </row>
    <row r="12" spans="1:21" ht="30" customHeight="1" x14ac:dyDescent="0.25">
      <c r="A12">
        <v>1213</v>
      </c>
      <c r="B12" t="s">
        <v>170</v>
      </c>
      <c r="C12">
        <v>0</v>
      </c>
      <c r="D12" s="28">
        <v>110</v>
      </c>
      <c r="F12" s="28">
        <f>priceTable[[#This Row],[Start - Sep]]-priceTable[[#This Row],[Sold - Sep]]</f>
        <v>110</v>
      </c>
      <c r="G12">
        <v>1</v>
      </c>
      <c r="H12" s="33">
        <f>priceTable[[#This Row],[Start - Oct]]-priceTable[[#This Row],[Sold - Oct]]</f>
        <v>109</v>
      </c>
      <c r="I12">
        <v>4.8</v>
      </c>
      <c r="J12">
        <v>10</v>
      </c>
      <c r="K12" t="s">
        <v>5</v>
      </c>
      <c r="M12" s="32">
        <v>0</v>
      </c>
      <c r="N12">
        <f>IF(priceTable[[#This Row],[Start - Nov]]&gt;M12,0,M12-priceTable[[#This Row],[Start - Nov]])</f>
        <v>0</v>
      </c>
      <c r="O12" s="29">
        <f>(N12/priceTable[[#This Row],[Sold Units]])*priceTable[[#This Row],[Unit Cost]]</f>
        <v>0</v>
      </c>
      <c r="R12">
        <f>priceTable[[#This Row],[Start - Sep]]-P12</f>
        <v>110</v>
      </c>
      <c r="S12" s="29">
        <f>R12*priceTable[[#This Row],[Unit Cost]]</f>
        <v>0</v>
      </c>
      <c r="T12" s="29">
        <f>(R12/priceTable[[#This Row],[Sold Units]])*priceTable[[#This Row],[Member Price]]</f>
        <v>52.8</v>
      </c>
      <c r="U12" s="30">
        <f t="shared" si="0"/>
        <v>52.8</v>
      </c>
    </row>
    <row r="13" spans="1:21" ht="30" customHeight="1" x14ac:dyDescent="0.25">
      <c r="A13">
        <v>1400</v>
      </c>
      <c r="B13" t="s">
        <v>9</v>
      </c>
      <c r="C13">
        <v>10.65</v>
      </c>
      <c r="D13" s="28">
        <v>10</v>
      </c>
      <c r="E13">
        <v>6</v>
      </c>
      <c r="F13" s="28">
        <f>priceTable[[#This Row],[Start - Sep]]-priceTable[[#This Row],[Sold - Sep]]</f>
        <v>4</v>
      </c>
      <c r="G13">
        <v>4</v>
      </c>
      <c r="H13" s="33">
        <f>priceTable[[#This Row],[Start - Oct]]-priceTable[[#This Row],[Sold - Oct]]</f>
        <v>0</v>
      </c>
      <c r="I13">
        <v>11.25</v>
      </c>
      <c r="J13">
        <v>1</v>
      </c>
      <c r="K13" t="s">
        <v>5</v>
      </c>
      <c r="M13" s="32">
        <v>20</v>
      </c>
      <c r="N13">
        <f>IF(priceTable[[#This Row],[Start - Nov]]&gt;M13,0,M13-priceTable[[#This Row],[Start - Nov]])</f>
        <v>20</v>
      </c>
      <c r="O13" s="29">
        <f>(N13/priceTable[[#This Row],[Sold Units]])*priceTable[[#This Row],[Unit Cost]]</f>
        <v>213</v>
      </c>
      <c r="P13">
        <f>0+2+2+2</f>
        <v>6</v>
      </c>
      <c r="R13">
        <f>priceTable[[#This Row],[Start - Sep]]-P13</f>
        <v>4</v>
      </c>
      <c r="S13" s="29">
        <f>R13*priceTable[[#This Row],[Unit Cost]]</f>
        <v>42.6</v>
      </c>
      <c r="T13" s="29">
        <f>(R13/priceTable[[#This Row],[Sold Units]])*priceTable[[#This Row],[Member Price]]</f>
        <v>45</v>
      </c>
      <c r="U13" s="30">
        <f t="shared" si="0"/>
        <v>2.3999999999999986</v>
      </c>
    </row>
    <row r="14" spans="1:21" ht="30" customHeight="1" x14ac:dyDescent="0.25">
      <c r="A14">
        <v>1500</v>
      </c>
      <c r="B14" t="s">
        <v>159</v>
      </c>
      <c r="C14">
        <v>0.8</v>
      </c>
      <c r="D14" s="28">
        <v>38</v>
      </c>
      <c r="F14" s="28">
        <f>priceTable[[#This Row],[Start - Sep]]-priceTable[[#This Row],[Sold - Sep]]</f>
        <v>38</v>
      </c>
      <c r="G14">
        <v>1</v>
      </c>
      <c r="H14" s="33">
        <f>priceTable[[#This Row],[Start - Oct]]-priceTable[[#This Row],[Sold - Oct]]</f>
        <v>37</v>
      </c>
      <c r="I14">
        <v>4</v>
      </c>
      <c r="J14">
        <v>5</v>
      </c>
      <c r="K14" t="s">
        <v>5</v>
      </c>
      <c r="M14" s="32">
        <v>50</v>
      </c>
      <c r="N14">
        <f>IF(priceTable[[#This Row],[Start - Nov]]&gt;M14,0,M14-priceTable[[#This Row],[Start - Nov]])</f>
        <v>13</v>
      </c>
      <c r="O14" s="29">
        <f>(N14/priceTable[[#This Row],[Sold Units]])*priceTable[[#This Row],[Unit Cost]]</f>
        <v>2.08</v>
      </c>
      <c r="R14">
        <f>priceTable[[#This Row],[Start - Sep]]-P14</f>
        <v>38</v>
      </c>
      <c r="S14" s="29">
        <f>R14*priceTable[[#This Row],[Unit Cost]]</f>
        <v>30.400000000000002</v>
      </c>
      <c r="T14" s="29">
        <f>(R14/priceTable[[#This Row],[Sold Units]])*priceTable[[#This Row],[Member Price]]</f>
        <v>30.4</v>
      </c>
      <c r="U14" s="30">
        <f t="shared" si="0"/>
        <v>0</v>
      </c>
    </row>
    <row r="15" spans="1:21" ht="30" customHeight="1" x14ac:dyDescent="0.25">
      <c r="A15">
        <v>1601</v>
      </c>
      <c r="B15" t="s">
        <v>52</v>
      </c>
      <c r="C15">
        <v>1</v>
      </c>
      <c r="D15" s="28">
        <v>27</v>
      </c>
      <c r="F15" s="28">
        <f>priceTable[[#This Row],[Start - Sep]]-priceTable[[#This Row],[Sold - Sep]]</f>
        <v>27</v>
      </c>
      <c r="H15" s="33">
        <f>priceTable[[#This Row],[Start - Oct]]-priceTable[[#This Row],[Sold - Oct]]</f>
        <v>27</v>
      </c>
      <c r="I15">
        <v>1.1499999999999999</v>
      </c>
      <c r="J15">
        <v>1</v>
      </c>
      <c r="K15" t="s">
        <v>191</v>
      </c>
      <c r="M15" s="32">
        <v>50</v>
      </c>
      <c r="N15">
        <f>IF(priceTable[[#This Row],[Start - Nov]]&gt;M15,0,M15-priceTable[[#This Row],[Start - Nov]])</f>
        <v>23</v>
      </c>
      <c r="O15" s="29">
        <f>(N15/priceTable[[#This Row],[Sold Units]])*priceTable[[#This Row],[Unit Cost]]</f>
        <v>23</v>
      </c>
      <c r="R15">
        <f>priceTable[[#This Row],[Start - Sep]]-P15</f>
        <v>27</v>
      </c>
      <c r="S15" s="29">
        <f>R15*priceTable[[#This Row],[Unit Cost]]</f>
        <v>27</v>
      </c>
      <c r="T15" s="29">
        <f>(R15/priceTable[[#This Row],[Sold Units]])*priceTable[[#This Row],[Member Price]]</f>
        <v>31.049999999999997</v>
      </c>
      <c r="U15" s="30">
        <f t="shared" si="0"/>
        <v>4.0499999999999972</v>
      </c>
    </row>
    <row r="16" spans="1:21" ht="30" customHeight="1" x14ac:dyDescent="0.25">
      <c r="A16">
        <v>1603</v>
      </c>
      <c r="B16" t="s">
        <v>157</v>
      </c>
      <c r="C16">
        <v>3.4</v>
      </c>
      <c r="D16" s="28">
        <v>32</v>
      </c>
      <c r="F16" s="28">
        <f>priceTable[[#This Row],[Start - Sep]]-priceTable[[#This Row],[Sold - Sep]]</f>
        <v>32</v>
      </c>
      <c r="H16" s="33">
        <f>priceTable[[#This Row],[Start - Oct]]-priceTable[[#This Row],[Sold - Oct]]</f>
        <v>32</v>
      </c>
      <c r="I16">
        <v>3.7</v>
      </c>
      <c r="J16">
        <v>1</v>
      </c>
      <c r="K16" t="s">
        <v>191</v>
      </c>
      <c r="M16" s="32">
        <v>20</v>
      </c>
      <c r="N16">
        <f>IF(priceTable[[#This Row],[Start - Nov]]&gt;M16,0,M16-priceTable[[#This Row],[Start - Nov]])</f>
        <v>0</v>
      </c>
      <c r="O16" s="29">
        <f>(N16/priceTable[[#This Row],[Sold Units]])*priceTable[[#This Row],[Unit Cost]]</f>
        <v>0</v>
      </c>
      <c r="R16">
        <f>priceTable[[#This Row],[Start - Sep]]-P16</f>
        <v>32</v>
      </c>
      <c r="S16" s="29">
        <f>R16*priceTable[[#This Row],[Unit Cost]]</f>
        <v>108.8</v>
      </c>
      <c r="T16" s="29">
        <f>(R16/priceTable[[#This Row],[Sold Units]])*priceTable[[#This Row],[Member Price]]</f>
        <v>118.4</v>
      </c>
      <c r="U16" s="30">
        <f t="shared" si="0"/>
        <v>9.6000000000000085</v>
      </c>
    </row>
    <row r="17" spans="1:21" ht="30" customHeight="1" x14ac:dyDescent="0.25">
      <c r="A17">
        <v>1604</v>
      </c>
      <c r="B17" t="s">
        <v>149</v>
      </c>
      <c r="C17">
        <v>0.42</v>
      </c>
      <c r="D17" s="28">
        <v>50</v>
      </c>
      <c r="F17" s="28">
        <f>priceTable[[#This Row],[Start - Sep]]-priceTable[[#This Row],[Sold - Sep]]</f>
        <v>50</v>
      </c>
      <c r="G17">
        <v>1</v>
      </c>
      <c r="H17" s="33">
        <f>priceTable[[#This Row],[Start - Oct]]-priceTable[[#This Row],[Sold - Oct]]</f>
        <v>49</v>
      </c>
      <c r="I17">
        <v>2.2999999999999998</v>
      </c>
      <c r="J17">
        <v>5</v>
      </c>
      <c r="K17" t="s">
        <v>190</v>
      </c>
      <c r="M17" s="32">
        <v>20</v>
      </c>
      <c r="N17">
        <f>IF(priceTable[[#This Row],[Start - Nov]]&gt;M17,0,M17-priceTable[[#This Row],[Start - Nov]])</f>
        <v>0</v>
      </c>
      <c r="O17" s="29">
        <f>(N17/priceTable[[#This Row],[Sold Units]])*priceTable[[#This Row],[Unit Cost]]</f>
        <v>0</v>
      </c>
      <c r="R17">
        <f>priceTable[[#This Row],[Start - Sep]]-P17</f>
        <v>50</v>
      </c>
      <c r="S17" s="29">
        <f>R17*priceTable[[#This Row],[Unit Cost]]</f>
        <v>21</v>
      </c>
      <c r="T17" s="29">
        <f>(R17/priceTable[[#This Row],[Sold Units]])*priceTable[[#This Row],[Member Price]]</f>
        <v>23</v>
      </c>
      <c r="U17" s="30">
        <f t="shared" si="0"/>
        <v>2</v>
      </c>
    </row>
    <row r="18" spans="1:21" ht="30" customHeight="1" x14ac:dyDescent="0.25">
      <c r="A18">
        <v>2110</v>
      </c>
      <c r="B18" t="s">
        <v>169</v>
      </c>
      <c r="C18">
        <v>2.2999999999999998</v>
      </c>
      <c r="D18" s="28">
        <v>5</v>
      </c>
      <c r="F18" s="28">
        <f>priceTable[[#This Row],[Start - Sep]]-priceTable[[#This Row],[Sold - Sep]]</f>
        <v>5</v>
      </c>
      <c r="G18">
        <v>1</v>
      </c>
      <c r="H18" s="33">
        <f>priceTable[[#This Row],[Start - Oct]]-priceTable[[#This Row],[Sold - Oct]]</f>
        <v>4</v>
      </c>
      <c r="I18">
        <v>2.5</v>
      </c>
      <c r="J18">
        <v>1</v>
      </c>
      <c r="K18" t="s">
        <v>5</v>
      </c>
      <c r="M18" s="32">
        <v>10</v>
      </c>
      <c r="N18">
        <f>IF(priceTable[[#This Row],[Start - Nov]]&gt;M18,0,M18-priceTable[[#This Row],[Start - Nov]])</f>
        <v>6</v>
      </c>
      <c r="O18" s="29">
        <f>(N18/priceTable[[#This Row],[Sold Units]])*priceTable[[#This Row],[Unit Cost]]</f>
        <v>13.799999999999999</v>
      </c>
      <c r="R18">
        <f>priceTable[[#This Row],[Start - Sep]]-P18</f>
        <v>5</v>
      </c>
      <c r="S18" s="29">
        <f>R18*priceTable[[#This Row],[Unit Cost]]</f>
        <v>11.5</v>
      </c>
      <c r="T18" s="29">
        <f>(R18/priceTable[[#This Row],[Sold Units]])*priceTable[[#This Row],[Member Price]]</f>
        <v>12.5</v>
      </c>
      <c r="U18" s="30">
        <f t="shared" si="0"/>
        <v>1</v>
      </c>
    </row>
    <row r="19" spans="1:21" ht="30" customHeight="1" x14ac:dyDescent="0.25">
      <c r="A19">
        <v>2111</v>
      </c>
      <c r="B19" t="s">
        <v>168</v>
      </c>
      <c r="C19">
        <v>7.6</v>
      </c>
      <c r="D19" s="28">
        <v>3</v>
      </c>
      <c r="F19" s="28">
        <f>priceTable[[#This Row],[Start - Sep]]-priceTable[[#This Row],[Sold - Sep]]</f>
        <v>3</v>
      </c>
      <c r="H19" s="33">
        <f>priceTable[[#This Row],[Start - Oct]]-priceTable[[#This Row],[Sold - Oct]]</f>
        <v>3</v>
      </c>
      <c r="I19">
        <v>8.25</v>
      </c>
      <c r="J19">
        <v>1</v>
      </c>
      <c r="K19" t="s">
        <v>5</v>
      </c>
      <c r="M19" s="32">
        <v>10</v>
      </c>
      <c r="N19">
        <f>IF(priceTable[[#This Row],[Start - Nov]]&gt;M19,0,M19-priceTable[[#This Row],[Start - Nov]])</f>
        <v>7</v>
      </c>
      <c r="O19" s="29">
        <f>(N19/priceTable[[#This Row],[Sold Units]])*priceTable[[#This Row],[Unit Cost]]</f>
        <v>53.199999999999996</v>
      </c>
      <c r="R19">
        <f>priceTable[[#This Row],[Start - Sep]]-P19</f>
        <v>3</v>
      </c>
      <c r="S19" s="29">
        <f>R19*priceTable[[#This Row],[Unit Cost]]</f>
        <v>22.799999999999997</v>
      </c>
      <c r="T19" s="29">
        <f>(R19/priceTable[[#This Row],[Sold Units]])*priceTable[[#This Row],[Member Price]]</f>
        <v>24.75</v>
      </c>
      <c r="U19" s="30">
        <f t="shared" si="0"/>
        <v>1.9500000000000028</v>
      </c>
    </row>
    <row r="20" spans="1:21" ht="30" customHeight="1" x14ac:dyDescent="0.25">
      <c r="A20">
        <v>2202</v>
      </c>
      <c r="B20" t="s">
        <v>46</v>
      </c>
      <c r="C20">
        <v>0.25</v>
      </c>
      <c r="D20" s="28">
        <v>40</v>
      </c>
      <c r="F20" s="28">
        <f>priceTable[[#This Row],[Start - Sep]]-priceTable[[#This Row],[Sold - Sep]]</f>
        <v>40</v>
      </c>
      <c r="H20" s="33">
        <f>priceTable[[#This Row],[Start - Oct]]-priceTable[[#This Row],[Sold - Oct]]</f>
        <v>40</v>
      </c>
      <c r="I20">
        <v>0.32</v>
      </c>
      <c r="J20">
        <v>1</v>
      </c>
      <c r="K20" t="s">
        <v>191</v>
      </c>
      <c r="M20" s="32">
        <v>20</v>
      </c>
      <c r="N20">
        <f>IF(priceTable[[#This Row],[Start - Nov]]&gt;M20,0,M20-priceTable[[#This Row],[Start - Nov]])</f>
        <v>0</v>
      </c>
      <c r="O20" s="29">
        <f>(N20/priceTable[[#This Row],[Sold Units]])*priceTable[[#This Row],[Unit Cost]]</f>
        <v>0</v>
      </c>
      <c r="R20">
        <f>priceTable[[#This Row],[Start - Sep]]-P20</f>
        <v>40</v>
      </c>
      <c r="S20" s="29">
        <f>R20*priceTable[[#This Row],[Unit Cost]]</f>
        <v>10</v>
      </c>
      <c r="T20" s="29">
        <f>(R20/priceTable[[#This Row],[Sold Units]])*priceTable[[#This Row],[Member Price]]</f>
        <v>12.8</v>
      </c>
      <c r="U20" s="30">
        <f t="shared" si="0"/>
        <v>2.8000000000000007</v>
      </c>
    </row>
    <row r="21" spans="1:21" ht="30" customHeight="1" x14ac:dyDescent="0.25">
      <c r="A21">
        <v>2203</v>
      </c>
      <c r="B21" t="s">
        <v>47</v>
      </c>
      <c r="C21">
        <v>0.25</v>
      </c>
      <c r="D21" s="28">
        <v>23</v>
      </c>
      <c r="F21" s="28">
        <f>priceTable[[#This Row],[Start - Sep]]-priceTable[[#This Row],[Sold - Sep]]</f>
        <v>23</v>
      </c>
      <c r="H21" s="33">
        <f>priceTable[[#This Row],[Start - Oct]]-priceTable[[#This Row],[Sold - Oct]]</f>
        <v>23</v>
      </c>
      <c r="I21">
        <v>0.32</v>
      </c>
      <c r="J21">
        <v>1</v>
      </c>
      <c r="K21" t="s">
        <v>191</v>
      </c>
      <c r="M21" s="32">
        <v>20</v>
      </c>
      <c r="N21">
        <f>IF(priceTable[[#This Row],[Start - Nov]]&gt;M21,0,M21-priceTable[[#This Row],[Start - Nov]])</f>
        <v>0</v>
      </c>
      <c r="O21" s="29">
        <f>(N21/priceTable[[#This Row],[Sold Units]])*priceTable[[#This Row],[Unit Cost]]</f>
        <v>0</v>
      </c>
      <c r="R21">
        <f>priceTable[[#This Row],[Start - Sep]]-P21</f>
        <v>23</v>
      </c>
      <c r="S21" s="29">
        <f>R21*priceTable[[#This Row],[Unit Cost]]</f>
        <v>5.75</v>
      </c>
      <c r="T21" s="29">
        <f>(R21/priceTable[[#This Row],[Sold Units]])*priceTable[[#This Row],[Member Price]]</f>
        <v>7.36</v>
      </c>
      <c r="U21" s="30">
        <f t="shared" si="0"/>
        <v>1.6100000000000003</v>
      </c>
    </row>
    <row r="22" spans="1:21" ht="30" customHeight="1" x14ac:dyDescent="0.25">
      <c r="A22">
        <v>2204</v>
      </c>
      <c r="B22" t="s">
        <v>150</v>
      </c>
      <c r="C22">
        <v>0.25</v>
      </c>
      <c r="D22" s="28">
        <v>35</v>
      </c>
      <c r="F22" s="28">
        <f>priceTable[[#This Row],[Start - Sep]]-priceTable[[#This Row],[Sold - Sep]]</f>
        <v>35</v>
      </c>
      <c r="H22" s="33">
        <f>priceTable[[#This Row],[Start - Oct]]-priceTable[[#This Row],[Sold - Oct]]</f>
        <v>35</v>
      </c>
      <c r="I22">
        <v>0.32</v>
      </c>
      <c r="J22">
        <v>1</v>
      </c>
      <c r="K22" t="s">
        <v>191</v>
      </c>
      <c r="M22" s="32">
        <v>20</v>
      </c>
      <c r="N22">
        <f>IF(priceTable[[#This Row],[Start - Nov]]&gt;M22,0,M22-priceTable[[#This Row],[Start - Nov]])</f>
        <v>0</v>
      </c>
      <c r="O22" s="29">
        <f>(N22/priceTable[[#This Row],[Sold Units]])*priceTable[[#This Row],[Unit Cost]]</f>
        <v>0</v>
      </c>
      <c r="R22">
        <f>priceTable[[#This Row],[Start - Sep]]-P22</f>
        <v>35</v>
      </c>
      <c r="S22" s="29">
        <f>R22*priceTable[[#This Row],[Unit Cost]]</f>
        <v>8.75</v>
      </c>
      <c r="T22" s="29">
        <f>(R22/priceTable[[#This Row],[Sold Units]])*priceTable[[#This Row],[Member Price]]</f>
        <v>11.200000000000001</v>
      </c>
      <c r="U22" s="30">
        <f t="shared" si="0"/>
        <v>2.4500000000000011</v>
      </c>
    </row>
    <row r="23" spans="1:21" ht="30" customHeight="1" x14ac:dyDescent="0.25">
      <c r="A23">
        <v>2205</v>
      </c>
      <c r="B23" t="s">
        <v>151</v>
      </c>
      <c r="C23">
        <v>0.33</v>
      </c>
      <c r="D23" s="28">
        <v>30</v>
      </c>
      <c r="E23">
        <v>3</v>
      </c>
      <c r="F23" s="28">
        <f>priceTable[[#This Row],[Start - Sep]]-priceTable[[#This Row],[Sold - Sep]]</f>
        <v>27</v>
      </c>
      <c r="H23" s="33">
        <f>priceTable[[#This Row],[Start - Oct]]-priceTable[[#This Row],[Sold - Oct]]</f>
        <v>27</v>
      </c>
      <c r="I23">
        <v>0.4</v>
      </c>
      <c r="J23">
        <v>1</v>
      </c>
      <c r="K23" t="s">
        <v>191</v>
      </c>
      <c r="M23" s="32">
        <v>20</v>
      </c>
      <c r="N23">
        <f>IF(priceTable[[#This Row],[Start - Nov]]&gt;M23,0,M23-priceTable[[#This Row],[Start - Nov]])</f>
        <v>0</v>
      </c>
      <c r="O23" s="29">
        <f>(N23/priceTable[[#This Row],[Sold Units]])*priceTable[[#This Row],[Unit Cost]]</f>
        <v>0</v>
      </c>
      <c r="P23">
        <v>3</v>
      </c>
      <c r="R23">
        <f>priceTable[[#This Row],[Start - Sep]]-P23</f>
        <v>27</v>
      </c>
      <c r="S23" s="29">
        <f>R23*priceTable[[#This Row],[Unit Cost]]</f>
        <v>8.91</v>
      </c>
      <c r="T23" s="29">
        <f>(R23/priceTable[[#This Row],[Sold Units]])*priceTable[[#This Row],[Member Price]]</f>
        <v>10.8</v>
      </c>
      <c r="U23" s="30">
        <f t="shared" si="0"/>
        <v>1.8900000000000006</v>
      </c>
    </row>
    <row r="24" spans="1:21" ht="30" customHeight="1" x14ac:dyDescent="0.25">
      <c r="A24">
        <v>2206</v>
      </c>
      <c r="B24" t="s">
        <v>152</v>
      </c>
      <c r="C24">
        <v>0.33</v>
      </c>
      <c r="D24" s="28">
        <v>28</v>
      </c>
      <c r="F24" s="28">
        <f>priceTable[[#This Row],[Start - Sep]]-priceTable[[#This Row],[Sold - Sep]]</f>
        <v>28</v>
      </c>
      <c r="H24" s="33">
        <f>priceTable[[#This Row],[Start - Oct]]-priceTable[[#This Row],[Sold - Oct]]</f>
        <v>28</v>
      </c>
      <c r="I24">
        <v>0.4</v>
      </c>
      <c r="J24">
        <v>1</v>
      </c>
      <c r="K24" t="s">
        <v>191</v>
      </c>
      <c r="M24" s="32">
        <v>20</v>
      </c>
      <c r="N24">
        <f>IF(priceTable[[#This Row],[Start - Nov]]&gt;M24,0,M24-priceTable[[#This Row],[Start - Nov]])</f>
        <v>0</v>
      </c>
      <c r="O24" s="29">
        <f>(N24/priceTable[[#This Row],[Sold Units]])*priceTable[[#This Row],[Unit Cost]]</f>
        <v>0</v>
      </c>
      <c r="R24">
        <f>priceTable[[#This Row],[Start - Sep]]-P24</f>
        <v>28</v>
      </c>
      <c r="S24" s="29">
        <f>R24*priceTable[[#This Row],[Unit Cost]]</f>
        <v>9.24</v>
      </c>
      <c r="T24" s="29">
        <f>(R24/priceTable[[#This Row],[Sold Units]])*priceTable[[#This Row],[Member Price]]</f>
        <v>11.200000000000001</v>
      </c>
      <c r="U24" s="30">
        <f t="shared" si="0"/>
        <v>1.9600000000000009</v>
      </c>
    </row>
    <row r="25" spans="1:21" ht="30" customHeight="1" x14ac:dyDescent="0.25">
      <c r="A25">
        <v>2207</v>
      </c>
      <c r="B25" t="s">
        <v>192</v>
      </c>
      <c r="C25">
        <v>0.33</v>
      </c>
      <c r="D25" s="28">
        <v>12</v>
      </c>
      <c r="F25" s="28">
        <f>priceTable[[#This Row],[Start - Sep]]-priceTable[[#This Row],[Sold - Sep]]</f>
        <v>12</v>
      </c>
      <c r="H25" s="33">
        <f>priceTable[[#This Row],[Start - Oct]]-priceTable[[#This Row],[Sold - Oct]]</f>
        <v>12</v>
      </c>
      <c r="I25">
        <v>0.4</v>
      </c>
      <c r="J25">
        <v>1</v>
      </c>
      <c r="K25" t="s">
        <v>191</v>
      </c>
      <c r="M25" s="32">
        <v>20</v>
      </c>
      <c r="N25">
        <f>IF(priceTable[[#This Row],[Start - Nov]]&gt;M25,0,M25-priceTable[[#This Row],[Start - Nov]])</f>
        <v>8</v>
      </c>
      <c r="O25" s="29">
        <f>(N25/priceTable[[#This Row],[Sold Units]])*priceTable[[#This Row],[Unit Cost]]</f>
        <v>2.64</v>
      </c>
      <c r="R25">
        <f>priceTable[[#This Row],[Start - Sep]]-P25</f>
        <v>12</v>
      </c>
      <c r="S25" s="29">
        <f>R25*priceTable[[#This Row],[Unit Cost]]</f>
        <v>3.96</v>
      </c>
      <c r="T25" s="29">
        <f>(R25/priceTable[[#This Row],[Sold Units]])*priceTable[[#This Row],[Member Price]]</f>
        <v>4.8000000000000007</v>
      </c>
      <c r="U25" s="30">
        <f t="shared" si="0"/>
        <v>0.84000000000000075</v>
      </c>
    </row>
    <row r="26" spans="1:21" ht="30" customHeight="1" x14ac:dyDescent="0.25">
      <c r="A26">
        <v>2306</v>
      </c>
      <c r="B26" t="s">
        <v>153</v>
      </c>
      <c r="C26">
        <v>0.35</v>
      </c>
      <c r="D26" s="28">
        <v>37</v>
      </c>
      <c r="F26" s="28">
        <f>priceTable[[#This Row],[Start - Sep]]-priceTable[[#This Row],[Sold - Sep]]</f>
        <v>37</v>
      </c>
      <c r="H26" s="33">
        <f>priceTable[[#This Row],[Start - Oct]]-priceTable[[#This Row],[Sold - Oct]]</f>
        <v>37</v>
      </c>
      <c r="I26">
        <v>0.4</v>
      </c>
      <c r="J26">
        <v>1</v>
      </c>
      <c r="K26" t="s">
        <v>191</v>
      </c>
      <c r="M26" s="32">
        <v>20</v>
      </c>
      <c r="N26">
        <f>IF(priceTable[[#This Row],[Start - Nov]]&gt;M26,0,M26-priceTable[[#This Row],[Start - Nov]])</f>
        <v>0</v>
      </c>
      <c r="O26" s="29">
        <f>(N26/priceTable[[#This Row],[Sold Units]])*priceTable[[#This Row],[Unit Cost]]</f>
        <v>0</v>
      </c>
      <c r="R26">
        <f>priceTable[[#This Row],[Start - Sep]]-P26</f>
        <v>37</v>
      </c>
      <c r="S26" s="29">
        <f>R26*priceTable[[#This Row],[Unit Cost]]</f>
        <v>12.95</v>
      </c>
      <c r="T26" s="29">
        <f>(R26/priceTable[[#This Row],[Sold Units]])*priceTable[[#This Row],[Member Price]]</f>
        <v>14.8</v>
      </c>
      <c r="U26" s="30">
        <f t="shared" si="0"/>
        <v>1.8500000000000014</v>
      </c>
    </row>
    <row r="27" spans="1:21" ht="30" customHeight="1" x14ac:dyDescent="0.25">
      <c r="A27">
        <v>3101</v>
      </c>
      <c r="B27" t="s">
        <v>126</v>
      </c>
      <c r="C27">
        <v>0.25</v>
      </c>
      <c r="D27" s="28">
        <v>51</v>
      </c>
      <c r="E27">
        <v>15</v>
      </c>
      <c r="F27" s="28">
        <f>priceTable[[#This Row],[Start - Sep]]-priceTable[[#This Row],[Sold - Sep]]</f>
        <v>36</v>
      </c>
      <c r="G27">
        <v>3</v>
      </c>
      <c r="H27" s="33">
        <f>priceTable[[#This Row],[Start - Oct]]-priceTable[[#This Row],[Sold - Oct]]</f>
        <v>33</v>
      </c>
      <c r="I27">
        <v>1.45</v>
      </c>
      <c r="J27">
        <v>5</v>
      </c>
      <c r="K27" t="s">
        <v>190</v>
      </c>
      <c r="M27" s="32">
        <v>100</v>
      </c>
      <c r="N27">
        <f>IF(priceTable[[#This Row],[Start - Nov]]&gt;M27,0,M27-priceTable[[#This Row],[Start - Nov]])</f>
        <v>67</v>
      </c>
      <c r="O27" s="29">
        <f>(N27/priceTable[[#This Row],[Sold Units]])*priceTable[[#This Row],[Unit Cost]]</f>
        <v>3.35</v>
      </c>
      <c r="P27">
        <f>10+5</f>
        <v>15</v>
      </c>
      <c r="R27">
        <f>priceTable[[#This Row],[Start - Sep]]-P27</f>
        <v>36</v>
      </c>
      <c r="S27" s="29">
        <f>R27*priceTable[[#This Row],[Unit Cost]]</f>
        <v>9</v>
      </c>
      <c r="T27" s="29">
        <f>(R27/priceTable[[#This Row],[Sold Units]])*priceTable[[#This Row],[Member Price]]</f>
        <v>10.44</v>
      </c>
      <c r="U27" s="30">
        <f t="shared" si="0"/>
        <v>1.4399999999999995</v>
      </c>
    </row>
    <row r="28" spans="1:21" ht="30" customHeight="1" x14ac:dyDescent="0.25">
      <c r="A28">
        <v>3102</v>
      </c>
      <c r="B28" t="s">
        <v>127</v>
      </c>
      <c r="C28">
        <v>0.33</v>
      </c>
      <c r="D28" s="28">
        <v>81</v>
      </c>
      <c r="F28" s="28">
        <f>priceTable[[#This Row],[Start - Sep]]-priceTable[[#This Row],[Sold - Sep]]</f>
        <v>81</v>
      </c>
      <c r="G28">
        <v>2</v>
      </c>
      <c r="H28" s="33">
        <f>priceTable[[#This Row],[Start - Oct]]-priceTable[[#This Row],[Sold - Oct]]</f>
        <v>79</v>
      </c>
      <c r="I28">
        <v>1.85</v>
      </c>
      <c r="J28">
        <v>5</v>
      </c>
      <c r="K28" t="s">
        <v>190</v>
      </c>
      <c r="M28" s="32">
        <v>50</v>
      </c>
      <c r="N28">
        <f>IF(priceTable[[#This Row],[Start - Nov]]&gt;M28,0,M28-priceTable[[#This Row],[Start - Nov]])</f>
        <v>0</v>
      </c>
      <c r="O28" s="29">
        <f>(N28/priceTable[[#This Row],[Sold Units]])*priceTable[[#This Row],[Unit Cost]]</f>
        <v>0</v>
      </c>
      <c r="R28">
        <f>priceTable[[#This Row],[Start - Sep]]-P28</f>
        <v>81</v>
      </c>
      <c r="S28" s="29">
        <f>R28*priceTable[[#This Row],[Unit Cost]]</f>
        <v>26.73</v>
      </c>
      <c r="T28" s="29">
        <f>(R28/priceTable[[#This Row],[Sold Units]])*priceTable[[#This Row],[Member Price]]</f>
        <v>29.97</v>
      </c>
      <c r="U28" s="30">
        <f t="shared" si="0"/>
        <v>3.2399999999999984</v>
      </c>
    </row>
    <row r="29" spans="1:21" ht="30" customHeight="1" x14ac:dyDescent="0.25">
      <c r="A29">
        <v>3105</v>
      </c>
      <c r="B29" t="s">
        <v>128</v>
      </c>
      <c r="C29">
        <v>0.25</v>
      </c>
      <c r="D29" s="28">
        <v>49</v>
      </c>
      <c r="F29" s="28">
        <f>priceTable[[#This Row],[Start - Sep]]-priceTable[[#This Row],[Sold - Sep]]</f>
        <v>49</v>
      </c>
      <c r="G29">
        <v>2</v>
      </c>
      <c r="H29" s="33">
        <f>priceTable[[#This Row],[Start - Oct]]-priceTable[[#This Row],[Sold - Oct]]</f>
        <v>47</v>
      </c>
      <c r="I29">
        <v>1.45</v>
      </c>
      <c r="J29">
        <v>5</v>
      </c>
      <c r="K29" t="s">
        <v>190</v>
      </c>
      <c r="M29" s="32">
        <v>50</v>
      </c>
      <c r="N29">
        <f>IF(priceTable[[#This Row],[Start - Nov]]&gt;M29,0,M29-priceTable[[#This Row],[Start - Nov]])</f>
        <v>3</v>
      </c>
      <c r="O29" s="29">
        <f>(N29/priceTable[[#This Row],[Sold Units]])*priceTable[[#This Row],[Unit Cost]]</f>
        <v>0.15</v>
      </c>
      <c r="R29">
        <f>priceTable[[#This Row],[Start - Sep]]-P29</f>
        <v>49</v>
      </c>
      <c r="S29" s="29">
        <f>R29*priceTable[[#This Row],[Unit Cost]]</f>
        <v>12.25</v>
      </c>
      <c r="T29" s="29">
        <f>(R29/priceTable[[#This Row],[Sold Units]])*priceTable[[#This Row],[Member Price]]</f>
        <v>14.21</v>
      </c>
      <c r="U29" s="30">
        <f t="shared" si="0"/>
        <v>1.9600000000000009</v>
      </c>
    </row>
    <row r="30" spans="1:21" ht="30" customHeight="1" x14ac:dyDescent="0.25">
      <c r="A30">
        <v>3106</v>
      </c>
      <c r="B30" t="s">
        <v>129</v>
      </c>
      <c r="C30">
        <v>0.25</v>
      </c>
      <c r="D30" s="28">
        <v>64</v>
      </c>
      <c r="E30">
        <v>5</v>
      </c>
      <c r="F30" s="28">
        <f>priceTable[[#This Row],[Start - Sep]]-priceTable[[#This Row],[Sold - Sep]]</f>
        <v>59</v>
      </c>
      <c r="G30">
        <v>3</v>
      </c>
      <c r="H30" s="33">
        <f>priceTable[[#This Row],[Start - Oct]]-priceTable[[#This Row],[Sold - Oct]]</f>
        <v>56</v>
      </c>
      <c r="I30">
        <v>1.45</v>
      </c>
      <c r="J30">
        <v>5</v>
      </c>
      <c r="K30" t="s">
        <v>190</v>
      </c>
      <c r="M30" s="32">
        <v>50</v>
      </c>
      <c r="N30">
        <f>IF(priceTable[[#This Row],[Start - Nov]]&gt;M30,0,M30-priceTable[[#This Row],[Start - Nov]])</f>
        <v>0</v>
      </c>
      <c r="O30" s="29">
        <f>(N30/priceTable[[#This Row],[Sold Units]])*priceTable[[#This Row],[Unit Cost]]</f>
        <v>0</v>
      </c>
      <c r="P30">
        <v>5</v>
      </c>
      <c r="R30">
        <f>priceTable[[#This Row],[Start - Sep]]-P30</f>
        <v>59</v>
      </c>
      <c r="S30" s="29">
        <f>R30*priceTable[[#This Row],[Unit Cost]]</f>
        <v>14.75</v>
      </c>
      <c r="T30" s="29">
        <f>(R30/priceTable[[#This Row],[Sold Units]])*priceTable[[#This Row],[Member Price]]</f>
        <v>17.11</v>
      </c>
      <c r="U30" s="30">
        <f t="shared" si="0"/>
        <v>2.3599999999999994</v>
      </c>
    </row>
    <row r="31" spans="1:21" ht="30" customHeight="1" x14ac:dyDescent="0.25">
      <c r="A31">
        <v>3107</v>
      </c>
      <c r="B31" t="s">
        <v>130</v>
      </c>
      <c r="C31">
        <v>0.25</v>
      </c>
      <c r="D31" s="28">
        <v>62</v>
      </c>
      <c r="E31">
        <v>15</v>
      </c>
      <c r="F31" s="28">
        <f>priceTable[[#This Row],[Start - Sep]]-priceTable[[#This Row],[Sold - Sep]]</f>
        <v>47</v>
      </c>
      <c r="G31">
        <v>2</v>
      </c>
      <c r="H31" s="33">
        <f>priceTable[[#This Row],[Start - Oct]]-priceTable[[#This Row],[Sold - Oct]]</f>
        <v>45</v>
      </c>
      <c r="I31">
        <v>1.45</v>
      </c>
      <c r="J31">
        <v>5</v>
      </c>
      <c r="K31" t="s">
        <v>190</v>
      </c>
      <c r="M31" s="32">
        <v>50</v>
      </c>
      <c r="N31">
        <f>IF(priceTable[[#This Row],[Start - Nov]]&gt;M31,0,M31-priceTable[[#This Row],[Start - Nov]])</f>
        <v>5</v>
      </c>
      <c r="O31" s="29">
        <f>(N31/priceTable[[#This Row],[Sold Units]])*priceTable[[#This Row],[Unit Cost]]</f>
        <v>0.25</v>
      </c>
      <c r="P31">
        <f>0+10+5</f>
        <v>15</v>
      </c>
      <c r="R31">
        <f>priceTable[[#This Row],[Start - Sep]]-P31</f>
        <v>47</v>
      </c>
      <c r="S31" s="29">
        <f>R31*priceTable[[#This Row],[Unit Cost]]</f>
        <v>11.75</v>
      </c>
      <c r="T31" s="29">
        <f>(R31/priceTable[[#This Row],[Sold Units]])*priceTable[[#This Row],[Member Price]]</f>
        <v>13.63</v>
      </c>
      <c r="U31" s="30">
        <f t="shared" si="0"/>
        <v>1.8800000000000008</v>
      </c>
    </row>
    <row r="32" spans="1:21" ht="30" customHeight="1" x14ac:dyDescent="0.25">
      <c r="A32">
        <v>3108</v>
      </c>
      <c r="B32" t="s">
        <v>131</v>
      </c>
      <c r="C32">
        <v>0.25</v>
      </c>
      <c r="D32" s="28">
        <v>30</v>
      </c>
      <c r="F32" s="28">
        <f>priceTable[[#This Row],[Start - Sep]]-priceTable[[#This Row],[Sold - Sep]]</f>
        <v>30</v>
      </c>
      <c r="G32">
        <v>2</v>
      </c>
      <c r="H32" s="33">
        <f>priceTable[[#This Row],[Start - Oct]]-priceTable[[#This Row],[Sold - Oct]]</f>
        <v>28</v>
      </c>
      <c r="I32">
        <v>1.45</v>
      </c>
      <c r="J32">
        <v>5</v>
      </c>
      <c r="K32" t="s">
        <v>190</v>
      </c>
      <c r="M32" s="32">
        <v>50</v>
      </c>
      <c r="N32">
        <f>IF(priceTable[[#This Row],[Start - Nov]]&gt;M32,0,M32-priceTable[[#This Row],[Start - Nov]])</f>
        <v>22</v>
      </c>
      <c r="O32" s="29">
        <f>(N32/priceTable[[#This Row],[Sold Units]])*priceTable[[#This Row],[Unit Cost]]</f>
        <v>1.1000000000000001</v>
      </c>
      <c r="R32">
        <f>priceTable[[#This Row],[Start - Sep]]-P32</f>
        <v>30</v>
      </c>
      <c r="S32" s="29">
        <f>R32*priceTable[[#This Row],[Unit Cost]]</f>
        <v>7.5</v>
      </c>
      <c r="T32" s="29">
        <f>(R32/priceTable[[#This Row],[Sold Units]])*priceTable[[#This Row],[Member Price]]</f>
        <v>8.6999999999999993</v>
      </c>
      <c r="U32" s="30">
        <f t="shared" si="0"/>
        <v>1.1999999999999993</v>
      </c>
    </row>
    <row r="33" spans="1:21" ht="30" customHeight="1" x14ac:dyDescent="0.25">
      <c r="A33">
        <v>3109</v>
      </c>
      <c r="B33" t="s">
        <v>132</v>
      </c>
      <c r="C33">
        <v>0.25</v>
      </c>
      <c r="D33" s="28">
        <v>14</v>
      </c>
      <c r="E33">
        <v>5</v>
      </c>
      <c r="F33" s="28">
        <f>priceTable[[#This Row],[Start - Sep]]-priceTable[[#This Row],[Sold - Sep]]</f>
        <v>9</v>
      </c>
      <c r="G33">
        <v>3</v>
      </c>
      <c r="H33" s="33">
        <f>priceTable[[#This Row],[Start - Oct]]-priceTable[[#This Row],[Sold - Oct]]</f>
        <v>6</v>
      </c>
      <c r="I33">
        <v>1.45</v>
      </c>
      <c r="J33">
        <v>5</v>
      </c>
      <c r="K33" t="s">
        <v>190</v>
      </c>
      <c r="M33" s="32">
        <v>50</v>
      </c>
      <c r="N33">
        <f>IF(priceTable[[#This Row],[Start - Nov]]&gt;M33,0,M33-priceTable[[#This Row],[Start - Nov]])</f>
        <v>44</v>
      </c>
      <c r="O33" s="29">
        <f>(N33/priceTable[[#This Row],[Sold Units]])*priceTable[[#This Row],[Unit Cost]]</f>
        <v>2.2000000000000002</v>
      </c>
      <c r="P33">
        <f>0+5</f>
        <v>5</v>
      </c>
      <c r="R33">
        <f>priceTable[[#This Row],[Start - Sep]]-P33</f>
        <v>9</v>
      </c>
      <c r="S33" s="29">
        <f>R33*priceTable[[#This Row],[Unit Cost]]</f>
        <v>2.25</v>
      </c>
      <c r="T33" s="29">
        <f>(R33/priceTable[[#This Row],[Sold Units]])*priceTable[[#This Row],[Member Price]]</f>
        <v>2.61</v>
      </c>
      <c r="U33" s="30">
        <f t="shared" si="0"/>
        <v>0.35999999999999988</v>
      </c>
    </row>
    <row r="34" spans="1:21" ht="30" customHeight="1" x14ac:dyDescent="0.25">
      <c r="A34">
        <v>3110</v>
      </c>
      <c r="B34" t="s">
        <v>155</v>
      </c>
      <c r="C34">
        <v>0.82</v>
      </c>
      <c r="D34" s="28">
        <v>10</v>
      </c>
      <c r="F34" s="28">
        <f>priceTable[[#This Row],[Start - Sep]]-priceTable[[#This Row],[Sold - Sep]]</f>
        <v>10</v>
      </c>
      <c r="H34" s="33">
        <f>priceTable[[#This Row],[Start - Oct]]-priceTable[[#This Row],[Sold - Oct]]</f>
        <v>10</v>
      </c>
      <c r="I34">
        <v>0.9</v>
      </c>
      <c r="J34">
        <v>1</v>
      </c>
      <c r="K34" t="s">
        <v>191</v>
      </c>
      <c r="M34" s="32">
        <v>10</v>
      </c>
      <c r="N34">
        <f>IF(priceTable[[#This Row],[Start - Nov]]&gt;M34,0,M34-priceTable[[#This Row],[Start - Nov]])</f>
        <v>0</v>
      </c>
      <c r="O34" s="29">
        <f>(N34/priceTable[[#This Row],[Sold Units]])*priceTable[[#This Row],[Unit Cost]]</f>
        <v>0</v>
      </c>
      <c r="R34">
        <f>priceTable[[#This Row],[Start - Sep]]-P34</f>
        <v>10</v>
      </c>
      <c r="S34" s="29">
        <f>R34*priceTable[[#This Row],[Unit Cost]]</f>
        <v>8.1999999999999993</v>
      </c>
      <c r="T34" s="29">
        <f>(R34/priceTable[[#This Row],[Sold Units]])*priceTable[[#This Row],[Member Price]]</f>
        <v>9</v>
      </c>
      <c r="U34" s="30">
        <f t="shared" si="0"/>
        <v>0.80000000000000071</v>
      </c>
    </row>
    <row r="35" spans="1:21" ht="30" customHeight="1" x14ac:dyDescent="0.25">
      <c r="A35">
        <v>3111</v>
      </c>
      <c r="B35" t="s">
        <v>133</v>
      </c>
      <c r="C35">
        <v>0.25</v>
      </c>
      <c r="D35" s="28">
        <v>39</v>
      </c>
      <c r="E35">
        <v>10</v>
      </c>
      <c r="F35" s="28">
        <f>priceTable[[#This Row],[Start - Sep]]-priceTable[[#This Row],[Sold - Sep]]</f>
        <v>29</v>
      </c>
      <c r="G35">
        <v>3</v>
      </c>
      <c r="H35" s="33">
        <f>priceTable[[#This Row],[Start - Oct]]-priceTable[[#This Row],[Sold - Oct]]</f>
        <v>26</v>
      </c>
      <c r="I35">
        <v>1.45</v>
      </c>
      <c r="J35">
        <v>5</v>
      </c>
      <c r="K35" t="s">
        <v>190</v>
      </c>
      <c r="M35" s="32">
        <v>50</v>
      </c>
      <c r="N35">
        <f>IF(priceTable[[#This Row],[Start - Nov]]&gt;M35,0,M35-priceTable[[#This Row],[Start - Nov]])</f>
        <v>24</v>
      </c>
      <c r="O35" s="29">
        <f>(N35/priceTable[[#This Row],[Sold Units]])*priceTable[[#This Row],[Unit Cost]]</f>
        <v>1.2</v>
      </c>
      <c r="P35">
        <f>0+5+5</f>
        <v>10</v>
      </c>
      <c r="R35">
        <f>priceTable[[#This Row],[Start - Sep]]-P35</f>
        <v>29</v>
      </c>
      <c r="S35" s="29">
        <f>R35*priceTable[[#This Row],[Unit Cost]]</f>
        <v>7.25</v>
      </c>
      <c r="T35" s="29">
        <f>(R35/priceTable[[#This Row],[Sold Units]])*priceTable[[#This Row],[Member Price]]</f>
        <v>8.41</v>
      </c>
      <c r="U35" s="30">
        <f t="shared" si="0"/>
        <v>1.1600000000000001</v>
      </c>
    </row>
    <row r="36" spans="1:21" ht="30" customHeight="1" x14ac:dyDescent="0.25">
      <c r="A36">
        <v>3112</v>
      </c>
      <c r="B36" t="s">
        <v>134</v>
      </c>
      <c r="C36">
        <v>0.25</v>
      </c>
      <c r="D36" s="28">
        <v>30</v>
      </c>
      <c r="E36">
        <v>15</v>
      </c>
      <c r="F36" s="28">
        <f>priceTable[[#This Row],[Start - Sep]]-priceTable[[#This Row],[Sold - Sep]]</f>
        <v>15</v>
      </c>
      <c r="G36">
        <v>3</v>
      </c>
      <c r="H36" s="33">
        <f>priceTable[[#This Row],[Start - Oct]]-priceTable[[#This Row],[Sold - Oct]]</f>
        <v>12</v>
      </c>
      <c r="I36">
        <v>1.45</v>
      </c>
      <c r="J36">
        <v>5</v>
      </c>
      <c r="K36" t="s">
        <v>190</v>
      </c>
      <c r="M36" s="32">
        <v>50</v>
      </c>
      <c r="N36">
        <f>IF(priceTable[[#This Row],[Start - Nov]]&gt;M36,0,M36-priceTable[[#This Row],[Start - Nov]])</f>
        <v>38</v>
      </c>
      <c r="O36" s="29">
        <f>(N36/priceTable[[#This Row],[Sold Units]])*priceTable[[#This Row],[Unit Cost]]</f>
        <v>1.9</v>
      </c>
      <c r="P36">
        <f>5+5+5</f>
        <v>15</v>
      </c>
      <c r="R36">
        <f>priceTable[[#This Row],[Start - Sep]]-P36</f>
        <v>15</v>
      </c>
      <c r="S36" s="29">
        <f>R36*priceTable[[#This Row],[Unit Cost]]</f>
        <v>3.75</v>
      </c>
      <c r="T36" s="29">
        <f>(R36/priceTable[[#This Row],[Sold Units]])*priceTable[[#This Row],[Member Price]]</f>
        <v>4.3499999999999996</v>
      </c>
      <c r="U36" s="30">
        <f t="shared" si="0"/>
        <v>0.59999999999999964</v>
      </c>
    </row>
    <row r="37" spans="1:21" ht="30" customHeight="1" x14ac:dyDescent="0.25">
      <c r="A37">
        <v>3113</v>
      </c>
      <c r="B37" t="s">
        <v>135</v>
      </c>
      <c r="C37">
        <v>0.33</v>
      </c>
      <c r="D37" s="28">
        <v>73</v>
      </c>
      <c r="F37" s="28">
        <f>priceTable[[#This Row],[Start - Sep]]-priceTable[[#This Row],[Sold - Sep]]</f>
        <v>73</v>
      </c>
      <c r="G37">
        <v>1</v>
      </c>
      <c r="H37" s="33">
        <f>priceTable[[#This Row],[Start - Oct]]-priceTable[[#This Row],[Sold - Oct]]</f>
        <v>72</v>
      </c>
      <c r="I37">
        <v>1.85</v>
      </c>
      <c r="J37">
        <v>5</v>
      </c>
      <c r="K37" t="s">
        <v>190</v>
      </c>
      <c r="M37" s="32">
        <v>50</v>
      </c>
      <c r="N37">
        <f>IF(priceTable[[#This Row],[Start - Nov]]&gt;M37,0,M37-priceTable[[#This Row],[Start - Nov]])</f>
        <v>0</v>
      </c>
      <c r="O37" s="29">
        <f>(N37/priceTable[[#This Row],[Sold Units]])*priceTable[[#This Row],[Unit Cost]]</f>
        <v>0</v>
      </c>
      <c r="R37">
        <f>priceTable[[#This Row],[Start - Sep]]-P37</f>
        <v>73</v>
      </c>
      <c r="S37" s="29">
        <f>R37*priceTable[[#This Row],[Unit Cost]]</f>
        <v>24.09</v>
      </c>
      <c r="T37" s="29">
        <f>(R37/priceTable[[#This Row],[Sold Units]])*priceTable[[#This Row],[Member Price]]</f>
        <v>27.01</v>
      </c>
      <c r="U37" s="30">
        <f t="shared" si="0"/>
        <v>2.9200000000000017</v>
      </c>
    </row>
    <row r="38" spans="1:21" ht="30" customHeight="1" x14ac:dyDescent="0.25">
      <c r="A38">
        <v>3114</v>
      </c>
      <c r="B38" t="s">
        <v>136</v>
      </c>
      <c r="C38">
        <v>0.25</v>
      </c>
      <c r="D38" s="28">
        <v>46</v>
      </c>
      <c r="F38" s="28">
        <f>priceTable[[#This Row],[Start - Sep]]-priceTable[[#This Row],[Sold - Sep]]</f>
        <v>46</v>
      </c>
      <c r="G38">
        <v>2</v>
      </c>
      <c r="H38" s="33">
        <f>priceTable[[#This Row],[Start - Oct]]-priceTable[[#This Row],[Sold - Oct]]</f>
        <v>44</v>
      </c>
      <c r="I38">
        <v>1.45</v>
      </c>
      <c r="J38">
        <v>5</v>
      </c>
      <c r="K38" t="s">
        <v>190</v>
      </c>
      <c r="M38" s="32">
        <v>50</v>
      </c>
      <c r="N38">
        <f>IF(priceTable[[#This Row],[Start - Nov]]&gt;M38,0,M38-priceTable[[#This Row],[Start - Nov]])</f>
        <v>6</v>
      </c>
      <c r="O38" s="29">
        <f>(N38/priceTable[[#This Row],[Sold Units]])*priceTable[[#This Row],[Unit Cost]]</f>
        <v>0.3</v>
      </c>
      <c r="R38">
        <f>priceTable[[#This Row],[Start - Sep]]-P38</f>
        <v>46</v>
      </c>
      <c r="S38" s="29">
        <f>R38*priceTable[[#This Row],[Unit Cost]]</f>
        <v>11.5</v>
      </c>
      <c r="T38" s="29">
        <f>(R38/priceTable[[#This Row],[Sold Units]])*priceTable[[#This Row],[Member Price]]</f>
        <v>13.339999999999998</v>
      </c>
      <c r="U38" s="30">
        <f t="shared" si="0"/>
        <v>1.8399999999999981</v>
      </c>
    </row>
    <row r="39" spans="1:21" ht="30" customHeight="1" x14ac:dyDescent="0.25">
      <c r="A39">
        <v>3115</v>
      </c>
      <c r="B39" t="s">
        <v>137</v>
      </c>
      <c r="C39">
        <v>0.25</v>
      </c>
      <c r="D39" s="28">
        <v>64</v>
      </c>
      <c r="F39" s="28">
        <f>priceTable[[#This Row],[Start - Sep]]-priceTable[[#This Row],[Sold - Sep]]</f>
        <v>64</v>
      </c>
      <c r="G39">
        <v>1</v>
      </c>
      <c r="H39" s="33">
        <f>priceTable[[#This Row],[Start - Oct]]-priceTable[[#This Row],[Sold - Oct]]</f>
        <v>63</v>
      </c>
      <c r="I39">
        <v>1.45</v>
      </c>
      <c r="J39">
        <v>5</v>
      </c>
      <c r="K39" t="s">
        <v>190</v>
      </c>
      <c r="M39" s="32">
        <v>50</v>
      </c>
      <c r="N39">
        <f>IF(priceTable[[#This Row],[Start - Nov]]&gt;M39,0,M39-priceTable[[#This Row],[Start - Nov]])</f>
        <v>0</v>
      </c>
      <c r="O39" s="29">
        <f>(N39/priceTable[[#This Row],[Sold Units]])*priceTable[[#This Row],[Unit Cost]]</f>
        <v>0</v>
      </c>
      <c r="R39">
        <f>priceTable[[#This Row],[Start - Sep]]-P39</f>
        <v>64</v>
      </c>
      <c r="S39" s="29">
        <f>R39*priceTable[[#This Row],[Unit Cost]]</f>
        <v>16</v>
      </c>
      <c r="T39" s="29">
        <f>(R39/priceTable[[#This Row],[Sold Units]])*priceTable[[#This Row],[Member Price]]</f>
        <v>18.559999999999999</v>
      </c>
      <c r="U39" s="30">
        <f t="shared" si="0"/>
        <v>2.5599999999999987</v>
      </c>
    </row>
    <row r="40" spans="1:21" ht="30" customHeight="1" x14ac:dyDescent="0.25">
      <c r="A40">
        <v>3116</v>
      </c>
      <c r="B40" t="s">
        <v>138</v>
      </c>
      <c r="C40">
        <v>0.25</v>
      </c>
      <c r="D40" s="28">
        <v>115</v>
      </c>
      <c r="F40" s="28">
        <f>priceTable[[#This Row],[Start - Sep]]-priceTable[[#This Row],[Sold - Sep]]</f>
        <v>115</v>
      </c>
      <c r="G40">
        <v>4</v>
      </c>
      <c r="H40" s="33">
        <f>priceTable[[#This Row],[Start - Oct]]-priceTable[[#This Row],[Sold - Oct]]</f>
        <v>111</v>
      </c>
      <c r="I40">
        <v>1.45</v>
      </c>
      <c r="J40">
        <v>5</v>
      </c>
      <c r="K40" t="s">
        <v>190</v>
      </c>
      <c r="M40" s="32">
        <v>50</v>
      </c>
      <c r="N40">
        <f>IF(priceTable[[#This Row],[Start - Nov]]&gt;M40,0,M40-priceTable[[#This Row],[Start - Nov]])</f>
        <v>0</v>
      </c>
      <c r="O40" s="29">
        <f>(N40/priceTable[[#This Row],[Sold Units]])*priceTable[[#This Row],[Unit Cost]]</f>
        <v>0</v>
      </c>
      <c r="R40">
        <f>priceTable[[#This Row],[Start - Sep]]-P40</f>
        <v>115</v>
      </c>
      <c r="S40" s="29">
        <f>R40*priceTable[[#This Row],[Unit Cost]]</f>
        <v>28.75</v>
      </c>
      <c r="T40" s="29">
        <f>(R40/priceTable[[#This Row],[Sold Units]])*priceTable[[#This Row],[Member Price]]</f>
        <v>33.35</v>
      </c>
      <c r="U40" s="30">
        <f t="shared" si="0"/>
        <v>4.6000000000000014</v>
      </c>
    </row>
    <row r="41" spans="1:21" ht="30" customHeight="1" x14ac:dyDescent="0.25">
      <c r="A41">
        <v>3117</v>
      </c>
      <c r="B41" t="s">
        <v>139</v>
      </c>
      <c r="C41">
        <v>0.33</v>
      </c>
      <c r="D41" s="28">
        <v>65</v>
      </c>
      <c r="F41" s="28">
        <f>priceTable[[#This Row],[Start - Sep]]-priceTable[[#This Row],[Sold - Sep]]</f>
        <v>65</v>
      </c>
      <c r="G41">
        <v>2</v>
      </c>
      <c r="H41" s="33">
        <f>priceTable[[#This Row],[Start - Oct]]-priceTable[[#This Row],[Sold - Oct]]</f>
        <v>63</v>
      </c>
      <c r="I41">
        <v>1.85</v>
      </c>
      <c r="J41">
        <v>5</v>
      </c>
      <c r="K41" t="s">
        <v>190</v>
      </c>
      <c r="M41" s="32">
        <v>50</v>
      </c>
      <c r="N41">
        <f>IF(priceTable[[#This Row],[Start - Nov]]&gt;M41,0,M41-priceTable[[#This Row],[Start - Nov]])</f>
        <v>0</v>
      </c>
      <c r="O41" s="29">
        <f>(N41/priceTable[[#This Row],[Sold Units]])*priceTable[[#This Row],[Unit Cost]]</f>
        <v>0</v>
      </c>
      <c r="R41">
        <f>priceTable[[#This Row],[Start - Sep]]-P41</f>
        <v>65</v>
      </c>
      <c r="S41" s="29">
        <f>R41*priceTable[[#This Row],[Unit Cost]]</f>
        <v>21.45</v>
      </c>
      <c r="T41" s="29">
        <f>(R41/priceTable[[#This Row],[Sold Units]])*priceTable[[#This Row],[Member Price]]</f>
        <v>24.05</v>
      </c>
      <c r="U41" s="30">
        <f t="shared" si="0"/>
        <v>2.6000000000000014</v>
      </c>
    </row>
    <row r="42" spans="1:21" ht="30" customHeight="1" x14ac:dyDescent="0.25">
      <c r="A42">
        <v>3118</v>
      </c>
      <c r="B42" t="s">
        <v>156</v>
      </c>
      <c r="C42">
        <v>1</v>
      </c>
      <c r="D42" s="28">
        <v>34</v>
      </c>
      <c r="F42" s="28">
        <f>priceTable[[#This Row],[Start - Sep]]-priceTable[[#This Row],[Sold - Sep]]</f>
        <v>34</v>
      </c>
      <c r="H42" s="33">
        <f>priceTable[[#This Row],[Start - Oct]]-priceTable[[#This Row],[Sold - Oct]]</f>
        <v>34</v>
      </c>
      <c r="I42">
        <v>1.1499999999999999</v>
      </c>
      <c r="J42">
        <v>1</v>
      </c>
      <c r="K42" t="s">
        <v>191</v>
      </c>
      <c r="M42" s="32">
        <v>50</v>
      </c>
      <c r="N42">
        <f>IF(priceTable[[#This Row],[Start - Nov]]&gt;M42,0,M42-priceTable[[#This Row],[Start - Nov]])</f>
        <v>16</v>
      </c>
      <c r="O42" s="29">
        <f>(N42/priceTable[[#This Row],[Sold Units]])*priceTable[[#This Row],[Unit Cost]]</f>
        <v>16</v>
      </c>
      <c r="R42">
        <f>priceTable[[#This Row],[Start - Sep]]-P42</f>
        <v>34</v>
      </c>
      <c r="S42" s="29">
        <f>R42*priceTable[[#This Row],[Unit Cost]]</f>
        <v>34</v>
      </c>
      <c r="T42" s="29">
        <f>(R42/priceTable[[#This Row],[Sold Units]])*priceTable[[#This Row],[Member Price]]</f>
        <v>39.099999999999994</v>
      </c>
      <c r="U42" s="30">
        <f t="shared" si="0"/>
        <v>5.0999999999999943</v>
      </c>
    </row>
    <row r="43" spans="1:21" ht="30" customHeight="1" x14ac:dyDescent="0.25">
      <c r="A43">
        <v>3119</v>
      </c>
      <c r="B43" t="s">
        <v>140</v>
      </c>
      <c r="C43">
        <v>0.25</v>
      </c>
      <c r="D43" s="28">
        <v>105</v>
      </c>
      <c r="E43">
        <v>10</v>
      </c>
      <c r="F43" s="28">
        <f>priceTable[[#This Row],[Start - Sep]]-priceTable[[#This Row],[Sold - Sep]]</f>
        <v>95</v>
      </c>
      <c r="G43">
        <v>3</v>
      </c>
      <c r="H43" s="33">
        <f>priceTable[[#This Row],[Start - Oct]]-priceTable[[#This Row],[Sold - Oct]]</f>
        <v>92</v>
      </c>
      <c r="I43">
        <v>1.45</v>
      </c>
      <c r="J43">
        <v>5</v>
      </c>
      <c r="K43" t="s">
        <v>190</v>
      </c>
      <c r="M43" s="32">
        <v>50</v>
      </c>
      <c r="N43">
        <f>IF(priceTable[[#This Row],[Start - Nov]]&gt;M43,0,M43-priceTable[[#This Row],[Start - Nov]])</f>
        <v>0</v>
      </c>
      <c r="O43" s="29">
        <f>(N43/priceTable[[#This Row],[Sold Units]])*priceTable[[#This Row],[Unit Cost]]</f>
        <v>0</v>
      </c>
      <c r="P43">
        <f>0+5+5</f>
        <v>10</v>
      </c>
      <c r="R43">
        <f>priceTable[[#This Row],[Start - Sep]]-P43</f>
        <v>95</v>
      </c>
      <c r="S43" s="29">
        <f>R43*priceTable[[#This Row],[Unit Cost]]</f>
        <v>23.75</v>
      </c>
      <c r="T43" s="29">
        <f>(R43/priceTable[[#This Row],[Sold Units]])*priceTable[[#This Row],[Member Price]]</f>
        <v>27.55</v>
      </c>
      <c r="U43" s="30">
        <f t="shared" si="0"/>
        <v>3.8000000000000007</v>
      </c>
    </row>
    <row r="44" spans="1:21" ht="30" customHeight="1" x14ac:dyDescent="0.25">
      <c r="A44">
        <v>3120</v>
      </c>
      <c r="B44" t="s">
        <v>141</v>
      </c>
      <c r="C44">
        <v>0.25</v>
      </c>
      <c r="D44" s="28">
        <v>105</v>
      </c>
      <c r="F44" s="28">
        <f>priceTable[[#This Row],[Start - Sep]]-priceTable[[#This Row],[Sold - Sep]]</f>
        <v>105</v>
      </c>
      <c r="G44">
        <v>1</v>
      </c>
      <c r="H44" s="33">
        <f>priceTable[[#This Row],[Start - Oct]]-priceTable[[#This Row],[Sold - Oct]]</f>
        <v>104</v>
      </c>
      <c r="I44">
        <v>1.45</v>
      </c>
      <c r="J44">
        <v>5</v>
      </c>
      <c r="K44" t="s">
        <v>190</v>
      </c>
      <c r="M44" s="32">
        <v>50</v>
      </c>
      <c r="N44">
        <f>IF(priceTable[[#This Row],[Start - Nov]]&gt;M44,0,M44-priceTable[[#This Row],[Start - Nov]])</f>
        <v>0</v>
      </c>
      <c r="O44" s="29">
        <f>(N44/priceTable[[#This Row],[Sold Units]])*priceTable[[#This Row],[Unit Cost]]</f>
        <v>0</v>
      </c>
      <c r="R44">
        <f>priceTable[[#This Row],[Start - Sep]]-P44</f>
        <v>105</v>
      </c>
      <c r="S44" s="29">
        <f>R44*priceTable[[#This Row],[Unit Cost]]</f>
        <v>26.25</v>
      </c>
      <c r="T44" s="29">
        <f>(R44/priceTable[[#This Row],[Sold Units]])*priceTable[[#This Row],[Member Price]]</f>
        <v>30.45</v>
      </c>
      <c r="U44" s="30">
        <f t="shared" si="0"/>
        <v>4.1999999999999993</v>
      </c>
    </row>
    <row r="45" spans="1:21" ht="30" customHeight="1" x14ac:dyDescent="0.25">
      <c r="A45">
        <v>3121</v>
      </c>
      <c r="B45" t="s">
        <v>142</v>
      </c>
      <c r="C45">
        <v>0.33</v>
      </c>
      <c r="D45" s="28">
        <v>107</v>
      </c>
      <c r="E45">
        <v>5</v>
      </c>
      <c r="F45" s="28">
        <f>priceTable[[#This Row],[Start - Sep]]-priceTable[[#This Row],[Sold - Sep]]</f>
        <v>102</v>
      </c>
      <c r="G45">
        <v>2</v>
      </c>
      <c r="H45" s="33">
        <f>priceTable[[#This Row],[Start - Oct]]-priceTable[[#This Row],[Sold - Oct]]</f>
        <v>100</v>
      </c>
      <c r="I45">
        <v>1.85</v>
      </c>
      <c r="J45">
        <v>5</v>
      </c>
      <c r="K45" t="s">
        <v>190</v>
      </c>
      <c r="M45" s="32">
        <v>50</v>
      </c>
      <c r="N45">
        <f>IF(priceTable[[#This Row],[Start - Nov]]&gt;M45,0,M45-priceTable[[#This Row],[Start - Nov]])</f>
        <v>0</v>
      </c>
      <c r="O45" s="29">
        <f>(N45/priceTable[[#This Row],[Sold Units]])*priceTable[[#This Row],[Unit Cost]]</f>
        <v>0</v>
      </c>
      <c r="P45">
        <f>0+5</f>
        <v>5</v>
      </c>
      <c r="R45">
        <f>priceTable[[#This Row],[Start - Sep]]-P45</f>
        <v>102</v>
      </c>
      <c r="S45" s="29">
        <f>R45*priceTable[[#This Row],[Unit Cost]]</f>
        <v>33.660000000000004</v>
      </c>
      <c r="T45" s="29">
        <f>(R45/priceTable[[#This Row],[Sold Units]])*priceTable[[#This Row],[Member Price]]</f>
        <v>37.74</v>
      </c>
      <c r="U45" s="30">
        <f t="shared" si="0"/>
        <v>4.0799999999999983</v>
      </c>
    </row>
    <row r="46" spans="1:21" ht="30" customHeight="1" x14ac:dyDescent="0.25">
      <c r="A46">
        <v>3122</v>
      </c>
      <c r="B46" t="s">
        <v>143</v>
      </c>
      <c r="C46">
        <v>0.25</v>
      </c>
      <c r="D46" s="28">
        <v>152</v>
      </c>
      <c r="E46">
        <v>10</v>
      </c>
      <c r="F46" s="28">
        <f>priceTable[[#This Row],[Start - Sep]]-priceTable[[#This Row],[Sold - Sep]]</f>
        <v>142</v>
      </c>
      <c r="G46">
        <v>3</v>
      </c>
      <c r="H46" s="33">
        <f>priceTable[[#This Row],[Start - Oct]]-priceTable[[#This Row],[Sold - Oct]]</f>
        <v>139</v>
      </c>
      <c r="I46">
        <v>1.45</v>
      </c>
      <c r="J46">
        <v>5</v>
      </c>
      <c r="K46" t="s">
        <v>190</v>
      </c>
      <c r="M46" s="32">
        <v>50</v>
      </c>
      <c r="N46">
        <f>IF(priceTable[[#This Row],[Start - Nov]]&gt;M46,0,M46-priceTable[[#This Row],[Start - Nov]])</f>
        <v>0</v>
      </c>
      <c r="O46" s="29">
        <f>(N46/priceTable[[#This Row],[Sold Units]])*priceTable[[#This Row],[Unit Cost]]</f>
        <v>0</v>
      </c>
      <c r="P46">
        <f>0+5+5</f>
        <v>10</v>
      </c>
      <c r="R46">
        <f>priceTable[[#This Row],[Start - Sep]]-P46</f>
        <v>142</v>
      </c>
      <c r="S46" s="29">
        <f>R46*priceTable[[#This Row],[Unit Cost]]</f>
        <v>35.5</v>
      </c>
      <c r="T46" s="29">
        <f>(R46/priceTable[[#This Row],[Sold Units]])*priceTable[[#This Row],[Member Price]]</f>
        <v>41.18</v>
      </c>
      <c r="U46" s="30">
        <f t="shared" si="0"/>
        <v>5.68</v>
      </c>
    </row>
    <row r="47" spans="1:21" ht="30" customHeight="1" x14ac:dyDescent="0.25">
      <c r="A47">
        <v>3123</v>
      </c>
      <c r="B47" t="s">
        <v>144</v>
      </c>
      <c r="C47">
        <v>0.25</v>
      </c>
      <c r="D47" s="28">
        <v>0</v>
      </c>
      <c r="F47" s="28">
        <f>priceTable[[#This Row],[Start - Sep]]-priceTable[[#This Row],[Sold - Sep]]</f>
        <v>0</v>
      </c>
      <c r="H47" s="33">
        <f>priceTable[[#This Row],[Start - Oct]]-priceTable[[#This Row],[Sold - Oct]]</f>
        <v>0</v>
      </c>
      <c r="I47">
        <v>1.45</v>
      </c>
      <c r="J47">
        <v>5</v>
      </c>
      <c r="K47" t="s">
        <v>190</v>
      </c>
      <c r="M47" s="32">
        <v>10</v>
      </c>
      <c r="N47">
        <f>IF(priceTable[[#This Row],[Start - Nov]]&gt;M47,0,M47-priceTable[[#This Row],[Start - Nov]])</f>
        <v>10</v>
      </c>
      <c r="O47" s="29">
        <f>(N47/priceTable[[#This Row],[Sold Units]])*priceTable[[#This Row],[Unit Cost]]</f>
        <v>0.5</v>
      </c>
      <c r="R47">
        <f>priceTable[[#This Row],[Start - Sep]]-P47</f>
        <v>0</v>
      </c>
      <c r="S47" s="29">
        <f>R47*priceTable[[#This Row],[Unit Cost]]</f>
        <v>0</v>
      </c>
      <c r="T47" s="29">
        <f>(R47/priceTable[[#This Row],[Sold Units]])*priceTable[[#This Row],[Member Price]]</f>
        <v>0</v>
      </c>
      <c r="U47" s="30">
        <f t="shared" si="0"/>
        <v>0</v>
      </c>
    </row>
    <row r="48" spans="1:21" ht="30" customHeight="1" x14ac:dyDescent="0.25">
      <c r="A48">
        <v>3124</v>
      </c>
      <c r="B48" t="s">
        <v>145</v>
      </c>
      <c r="C48">
        <v>0.56000000000000005</v>
      </c>
      <c r="D48" s="28">
        <v>35</v>
      </c>
      <c r="E48">
        <v>5</v>
      </c>
      <c r="F48" s="28">
        <f>priceTable[[#This Row],[Start - Sep]]-priceTable[[#This Row],[Sold - Sep]]</f>
        <v>30</v>
      </c>
      <c r="G48">
        <v>1</v>
      </c>
      <c r="H48" s="33">
        <f>priceTable[[#This Row],[Start - Oct]]-priceTable[[#This Row],[Sold - Oct]]</f>
        <v>29</v>
      </c>
      <c r="I48">
        <v>3</v>
      </c>
      <c r="J48">
        <v>5</v>
      </c>
      <c r="K48" t="s">
        <v>190</v>
      </c>
      <c r="M48" s="32">
        <v>50</v>
      </c>
      <c r="N48">
        <f>IF(priceTable[[#This Row],[Start - Nov]]&gt;M48,0,M48-priceTable[[#This Row],[Start - Nov]])</f>
        <v>21</v>
      </c>
      <c r="O48" s="29">
        <f>(N48/priceTable[[#This Row],[Sold Units]])*priceTable[[#This Row],[Unit Cost]]</f>
        <v>2.3520000000000003</v>
      </c>
      <c r="P48">
        <f>0+5</f>
        <v>5</v>
      </c>
      <c r="R48">
        <f>priceTable[[#This Row],[Start - Sep]]-P48</f>
        <v>30</v>
      </c>
      <c r="S48" s="29">
        <f>R48*priceTable[[#This Row],[Unit Cost]]</f>
        <v>16.8</v>
      </c>
      <c r="T48" s="29">
        <f>(R48/priceTable[[#This Row],[Sold Units]])*priceTable[[#This Row],[Member Price]]</f>
        <v>18</v>
      </c>
      <c r="U48" s="30">
        <f t="shared" si="0"/>
        <v>1.1999999999999993</v>
      </c>
    </row>
    <row r="49" spans="1:21" ht="30" customHeight="1" x14ac:dyDescent="0.25">
      <c r="A49">
        <v>3126</v>
      </c>
      <c r="B49" t="s">
        <v>146</v>
      </c>
      <c r="C49">
        <v>0.25</v>
      </c>
      <c r="D49" s="28">
        <v>62</v>
      </c>
      <c r="F49" s="28">
        <f>priceTable[[#This Row],[Start - Sep]]-priceTable[[#This Row],[Sold - Sep]]</f>
        <v>62</v>
      </c>
      <c r="G49">
        <v>1</v>
      </c>
      <c r="H49" s="33">
        <f>priceTable[[#This Row],[Start - Oct]]-priceTable[[#This Row],[Sold - Oct]]</f>
        <v>61</v>
      </c>
      <c r="I49">
        <v>1.45</v>
      </c>
      <c r="J49">
        <v>5</v>
      </c>
      <c r="K49" t="s">
        <v>190</v>
      </c>
      <c r="M49" s="32">
        <v>50</v>
      </c>
      <c r="N49">
        <f>IF(priceTable[[#This Row],[Start - Nov]]&gt;M49,0,M49-priceTable[[#This Row],[Start - Nov]])</f>
        <v>0</v>
      </c>
      <c r="O49" s="29">
        <f>(N49/priceTable[[#This Row],[Sold Units]])*priceTable[[#This Row],[Unit Cost]]</f>
        <v>0</v>
      </c>
      <c r="R49">
        <f>priceTable[[#This Row],[Start - Sep]]-P49</f>
        <v>62</v>
      </c>
      <c r="S49" s="29">
        <f>R49*priceTable[[#This Row],[Unit Cost]]</f>
        <v>15.5</v>
      </c>
      <c r="T49" s="29">
        <f>(R49/priceTable[[#This Row],[Sold Units]])*priceTable[[#This Row],[Member Price]]</f>
        <v>17.98</v>
      </c>
      <c r="U49" s="30">
        <f t="shared" si="0"/>
        <v>2.4800000000000004</v>
      </c>
    </row>
    <row r="50" spans="1:21" ht="30" customHeight="1" x14ac:dyDescent="0.25">
      <c r="A50">
        <v>3127</v>
      </c>
      <c r="B50" t="s">
        <v>147</v>
      </c>
      <c r="C50">
        <v>0.33</v>
      </c>
      <c r="D50" s="28">
        <v>119</v>
      </c>
      <c r="F50" s="28">
        <f>priceTable[[#This Row],[Start - Sep]]-priceTable[[#This Row],[Sold - Sep]]</f>
        <v>119</v>
      </c>
      <c r="H50" s="33">
        <f>priceTable[[#This Row],[Start - Oct]]-priceTable[[#This Row],[Sold - Oct]]</f>
        <v>119</v>
      </c>
      <c r="I50">
        <v>1.85</v>
      </c>
      <c r="J50">
        <v>5</v>
      </c>
      <c r="K50" t="s">
        <v>190</v>
      </c>
      <c r="M50" s="32">
        <v>50</v>
      </c>
      <c r="N50">
        <f>IF(priceTable[[#This Row],[Start - Nov]]&gt;M50,0,M50-priceTable[[#This Row],[Start - Nov]])</f>
        <v>0</v>
      </c>
      <c r="O50" s="29">
        <f>(N50/priceTable[[#This Row],[Sold Units]])*priceTable[[#This Row],[Unit Cost]]</f>
        <v>0</v>
      </c>
      <c r="R50">
        <f>priceTable[[#This Row],[Start - Sep]]-P50</f>
        <v>119</v>
      </c>
      <c r="S50" s="29">
        <f>R50*priceTable[[#This Row],[Unit Cost]]</f>
        <v>39.270000000000003</v>
      </c>
      <c r="T50" s="29">
        <f>(R50/priceTable[[#This Row],[Sold Units]])*priceTable[[#This Row],[Member Price]]</f>
        <v>44.03</v>
      </c>
      <c r="U50" s="30">
        <f t="shared" si="0"/>
        <v>4.759999999999998</v>
      </c>
    </row>
    <row r="51" spans="1:21" ht="30" customHeight="1" x14ac:dyDescent="0.25">
      <c r="A51">
        <v>3128</v>
      </c>
      <c r="B51" t="s">
        <v>148</v>
      </c>
      <c r="C51">
        <v>0.37</v>
      </c>
      <c r="D51" s="28">
        <v>100</v>
      </c>
      <c r="F51" s="28">
        <f>priceTable[[#This Row],[Start - Sep]]-priceTable[[#This Row],[Sold - Sep]]</f>
        <v>100</v>
      </c>
      <c r="G51">
        <v>1</v>
      </c>
      <c r="H51" s="33">
        <f>priceTable[[#This Row],[Start - Oct]]-priceTable[[#This Row],[Sold - Oct]]</f>
        <v>99</v>
      </c>
      <c r="I51">
        <v>2.0499999999999998</v>
      </c>
      <c r="J51">
        <v>5</v>
      </c>
      <c r="K51" t="s">
        <v>190</v>
      </c>
      <c r="M51" s="32">
        <v>50</v>
      </c>
      <c r="N51">
        <f>IF(priceTable[[#This Row],[Start - Nov]]&gt;M51,0,M51-priceTable[[#This Row],[Start - Nov]])</f>
        <v>0</v>
      </c>
      <c r="O51" s="29">
        <f>(N51/priceTable[[#This Row],[Sold Units]])*priceTable[[#This Row],[Unit Cost]]</f>
        <v>0</v>
      </c>
      <c r="R51">
        <f>priceTable[[#This Row],[Start - Sep]]-P51</f>
        <v>100</v>
      </c>
      <c r="S51" s="29">
        <f>R51*priceTable[[#This Row],[Unit Cost]]</f>
        <v>37</v>
      </c>
      <c r="T51" s="29">
        <f>(R51/priceTable[[#This Row],[Sold Units]])*priceTable[[#This Row],[Member Price]]</f>
        <v>41</v>
      </c>
      <c r="U51" s="30">
        <f t="shared" si="0"/>
        <v>4</v>
      </c>
    </row>
    <row r="52" spans="1:21" ht="30" customHeight="1" x14ac:dyDescent="0.25">
      <c r="A52">
        <v>3129</v>
      </c>
      <c r="B52" t="s">
        <v>43</v>
      </c>
      <c r="C52">
        <v>0.25</v>
      </c>
      <c r="D52" s="28">
        <v>168</v>
      </c>
      <c r="F52" s="28">
        <f>priceTable[[#This Row],[Start - Sep]]-priceTable[[#This Row],[Sold - Sep]]</f>
        <v>168</v>
      </c>
      <c r="G52">
        <v>1</v>
      </c>
      <c r="H52" s="33">
        <f>priceTable[[#This Row],[Start - Oct]]-priceTable[[#This Row],[Sold - Oct]]</f>
        <v>167</v>
      </c>
      <c r="I52">
        <v>1.45</v>
      </c>
      <c r="J52">
        <v>5</v>
      </c>
      <c r="K52" t="s">
        <v>190</v>
      </c>
      <c r="M52" s="32">
        <v>50</v>
      </c>
      <c r="N52">
        <f>IF(priceTable[[#This Row],[Start - Nov]]&gt;M52,0,M52-priceTable[[#This Row],[Start - Nov]])</f>
        <v>0</v>
      </c>
      <c r="O52" s="29">
        <f>(N52/priceTable[[#This Row],[Sold Units]])*priceTable[[#This Row],[Unit Cost]]</f>
        <v>0</v>
      </c>
      <c r="R52">
        <f>priceTable[[#This Row],[Start - Sep]]-P52</f>
        <v>168</v>
      </c>
      <c r="S52" s="29">
        <f>R52*priceTable[[#This Row],[Unit Cost]]</f>
        <v>42</v>
      </c>
      <c r="T52" s="29">
        <f>(R52/priceTable[[#This Row],[Sold Units]])*priceTable[[#This Row],[Member Price]]</f>
        <v>48.72</v>
      </c>
      <c r="U52" s="30">
        <f t="shared" si="0"/>
        <v>6.7199999999999989</v>
      </c>
    </row>
    <row r="53" spans="1:21" ht="30" customHeight="1" x14ac:dyDescent="0.25">
      <c r="A53">
        <v>3130</v>
      </c>
      <c r="B53" t="s">
        <v>154</v>
      </c>
      <c r="C53">
        <v>0.35</v>
      </c>
      <c r="D53" s="28">
        <v>0</v>
      </c>
      <c r="F53" s="28">
        <f>priceTable[[#This Row],[Start - Sep]]-priceTable[[#This Row],[Sold - Sep]]</f>
        <v>0</v>
      </c>
      <c r="H53" s="33">
        <f>priceTable[[#This Row],[Start - Oct]]-priceTable[[#This Row],[Sold - Oct]]</f>
        <v>0</v>
      </c>
      <c r="I53">
        <v>0</v>
      </c>
      <c r="J53">
        <v>1</v>
      </c>
      <c r="M53" s="32">
        <v>50</v>
      </c>
      <c r="N53">
        <f>IF(priceTable[[#This Row],[Start - Nov]]&gt;M53,0,M53-priceTable[[#This Row],[Start - Nov]])</f>
        <v>50</v>
      </c>
      <c r="O53" s="29">
        <f>(N53/priceTable[[#This Row],[Sold Units]])*priceTable[[#This Row],[Unit Cost]]</f>
        <v>17.5</v>
      </c>
      <c r="R53">
        <f>priceTable[[#This Row],[Start - Sep]]-P53</f>
        <v>0</v>
      </c>
      <c r="S53" s="29">
        <f>R53*priceTable[[#This Row],[Unit Cost]]</f>
        <v>0</v>
      </c>
      <c r="T53" s="29">
        <f>(R53/priceTable[[#This Row],[Sold Units]])*priceTable[[#This Row],[Member Price]]</f>
        <v>0</v>
      </c>
      <c r="U53" s="30">
        <f t="shared" si="0"/>
        <v>0</v>
      </c>
    </row>
    <row r="54" spans="1:21" ht="30" customHeight="1" x14ac:dyDescent="0.25">
      <c r="A54">
        <v>4100</v>
      </c>
      <c r="B54" t="s">
        <v>54</v>
      </c>
      <c r="C54">
        <v>0.56000000000000005</v>
      </c>
      <c r="D54" s="28">
        <v>137</v>
      </c>
      <c r="E54">
        <v>90</v>
      </c>
      <c r="F54" s="28">
        <f>priceTable[[#This Row],[Start - Sep]]-priceTable[[#This Row],[Sold - Sep]]</f>
        <v>47</v>
      </c>
      <c r="G54">
        <v>7</v>
      </c>
      <c r="H54" s="33">
        <f>priceTable[[#This Row],[Start - Oct]]-priceTable[[#This Row],[Sold - Oct]]</f>
        <v>40</v>
      </c>
      <c r="I54">
        <v>3.15</v>
      </c>
      <c r="J54">
        <v>5</v>
      </c>
      <c r="K54" t="s">
        <v>172</v>
      </c>
      <c r="M54" s="32">
        <v>200</v>
      </c>
      <c r="N54">
        <f>IF(priceTable[[#This Row],[Start - Nov]]&gt;M54,0,M54-priceTable[[#This Row],[Start - Nov]])</f>
        <v>160</v>
      </c>
      <c r="O54" s="29">
        <f>(N54/priceTable[[#This Row],[Sold Units]])*priceTable[[#This Row],[Unit Cost]]</f>
        <v>17.920000000000002</v>
      </c>
      <c r="P54">
        <f>55+10+10+5+10</f>
        <v>90</v>
      </c>
      <c r="R54">
        <f>priceTable[[#This Row],[Start - Sep]]-P54</f>
        <v>47</v>
      </c>
      <c r="S54" s="29">
        <f>R54*priceTable[[#This Row],[Unit Cost]]</f>
        <v>26.320000000000004</v>
      </c>
      <c r="T54" s="29">
        <f>(R54/priceTable[[#This Row],[Sold Units]])*priceTable[[#This Row],[Member Price]]</f>
        <v>29.61</v>
      </c>
      <c r="U54" s="30">
        <f t="shared" si="0"/>
        <v>3.2899999999999956</v>
      </c>
    </row>
    <row r="55" spans="1:21" ht="30" customHeight="1" x14ac:dyDescent="0.25">
      <c r="A55">
        <v>4101</v>
      </c>
      <c r="B55" t="s">
        <v>55</v>
      </c>
      <c r="C55">
        <v>0.56000000000000005</v>
      </c>
      <c r="D55" s="28">
        <v>125</v>
      </c>
      <c r="E55">
        <v>95</v>
      </c>
      <c r="F55" s="28">
        <f>priceTable[[#This Row],[Start - Sep]]-priceTable[[#This Row],[Sold - Sep]]</f>
        <v>30</v>
      </c>
      <c r="G55">
        <v>6</v>
      </c>
      <c r="H55" s="33">
        <f>priceTable[[#This Row],[Start - Oct]]-priceTable[[#This Row],[Sold - Oct]]</f>
        <v>24</v>
      </c>
      <c r="I55">
        <v>3.15</v>
      </c>
      <c r="J55">
        <v>5</v>
      </c>
      <c r="K55" t="s">
        <v>172</v>
      </c>
      <c r="M55" s="32">
        <v>200</v>
      </c>
      <c r="N55">
        <f>IF(priceTable[[#This Row],[Start - Nov]]&gt;M55,0,M55-priceTable[[#This Row],[Start - Nov]])</f>
        <v>176</v>
      </c>
      <c r="O55" s="29">
        <f>(N55/priceTable[[#This Row],[Sold Units]])*priceTable[[#This Row],[Unit Cost]]</f>
        <v>19.712000000000003</v>
      </c>
      <c r="P55">
        <f>60+10+10+5+10</f>
        <v>95</v>
      </c>
      <c r="R55">
        <f>priceTable[[#This Row],[Start - Sep]]-P55</f>
        <v>30</v>
      </c>
      <c r="S55" s="29">
        <f>R55*priceTable[[#This Row],[Unit Cost]]</f>
        <v>16.8</v>
      </c>
      <c r="T55" s="29">
        <f>(R55/priceTable[[#This Row],[Sold Units]])*priceTable[[#This Row],[Member Price]]</f>
        <v>18.899999999999999</v>
      </c>
      <c r="U55" s="30">
        <f t="shared" si="0"/>
        <v>2.0999999999999979</v>
      </c>
    </row>
    <row r="56" spans="1:21" ht="30" customHeight="1" x14ac:dyDescent="0.25">
      <c r="A56">
        <v>4102</v>
      </c>
      <c r="B56" t="s">
        <v>56</v>
      </c>
      <c r="C56">
        <v>0.56000000000000005</v>
      </c>
      <c r="D56" s="28">
        <v>148</v>
      </c>
      <c r="E56">
        <v>25</v>
      </c>
      <c r="F56" s="28">
        <f>priceTable[[#This Row],[Start - Sep]]-priceTable[[#This Row],[Sold - Sep]]</f>
        <v>123</v>
      </c>
      <c r="G56">
        <v>8</v>
      </c>
      <c r="H56" s="33">
        <f>priceTable[[#This Row],[Start - Oct]]-priceTable[[#This Row],[Sold - Oct]]</f>
        <v>115</v>
      </c>
      <c r="I56">
        <v>3.15</v>
      </c>
      <c r="J56">
        <v>5</v>
      </c>
      <c r="K56" t="s">
        <v>172</v>
      </c>
      <c r="M56" s="32">
        <v>200</v>
      </c>
      <c r="N56">
        <f>IF(priceTable[[#This Row],[Start - Nov]]&gt;M56,0,M56-priceTable[[#This Row],[Start - Nov]])</f>
        <v>85</v>
      </c>
      <c r="O56" s="29">
        <f>(N56/priceTable[[#This Row],[Sold Units]])*priceTable[[#This Row],[Unit Cost]]</f>
        <v>9.5200000000000014</v>
      </c>
      <c r="P56">
        <f>10+10+5</f>
        <v>25</v>
      </c>
      <c r="R56">
        <f>priceTable[[#This Row],[Start - Sep]]-P56</f>
        <v>123</v>
      </c>
      <c r="S56" s="29">
        <f>R56*priceTable[[#This Row],[Unit Cost]]</f>
        <v>68.88000000000001</v>
      </c>
      <c r="T56" s="29">
        <f>(R56/priceTable[[#This Row],[Sold Units]])*priceTable[[#This Row],[Member Price]]</f>
        <v>77.490000000000009</v>
      </c>
      <c r="U56" s="30">
        <f t="shared" si="0"/>
        <v>8.61</v>
      </c>
    </row>
    <row r="57" spans="1:21" ht="30" customHeight="1" x14ac:dyDescent="0.25">
      <c r="A57">
        <v>4103</v>
      </c>
      <c r="B57" t="s">
        <v>57</v>
      </c>
      <c r="C57">
        <v>0.56000000000000005</v>
      </c>
      <c r="D57" s="28">
        <v>143</v>
      </c>
      <c r="E57">
        <v>10</v>
      </c>
      <c r="F57" s="28">
        <f>priceTable[[#This Row],[Start - Sep]]-priceTable[[#This Row],[Sold - Sep]]</f>
        <v>133</v>
      </c>
      <c r="G57">
        <v>2</v>
      </c>
      <c r="H57" s="33">
        <f>priceTable[[#This Row],[Start - Oct]]-priceTable[[#This Row],[Sold - Oct]]</f>
        <v>131</v>
      </c>
      <c r="I57">
        <v>3.15</v>
      </c>
      <c r="J57">
        <v>5</v>
      </c>
      <c r="K57" t="s">
        <v>172</v>
      </c>
      <c r="M57" s="32">
        <v>200</v>
      </c>
      <c r="N57">
        <f>IF(priceTable[[#This Row],[Start - Nov]]&gt;M57,0,M57-priceTable[[#This Row],[Start - Nov]])</f>
        <v>69</v>
      </c>
      <c r="O57" s="29">
        <f>(N57/priceTable[[#This Row],[Sold Units]])*priceTable[[#This Row],[Unit Cost]]</f>
        <v>7.7280000000000015</v>
      </c>
      <c r="P57">
        <f>0+10</f>
        <v>10</v>
      </c>
      <c r="R57">
        <f>priceTable[[#This Row],[Start - Sep]]-P57</f>
        <v>133</v>
      </c>
      <c r="S57" s="29">
        <f>R57*priceTable[[#This Row],[Unit Cost]]</f>
        <v>74.48</v>
      </c>
      <c r="T57" s="29">
        <f>(R57/priceTable[[#This Row],[Sold Units]])*priceTable[[#This Row],[Member Price]]</f>
        <v>83.79</v>
      </c>
      <c r="U57" s="30">
        <f t="shared" si="0"/>
        <v>9.3100000000000023</v>
      </c>
    </row>
    <row r="58" spans="1:21" ht="30" customHeight="1" x14ac:dyDescent="0.25">
      <c r="A58">
        <v>4104</v>
      </c>
      <c r="B58" t="s">
        <v>58</v>
      </c>
      <c r="C58">
        <v>0.56000000000000005</v>
      </c>
      <c r="D58" s="28">
        <v>110</v>
      </c>
      <c r="E58">
        <v>10</v>
      </c>
      <c r="F58" s="28">
        <f>priceTable[[#This Row],[Start - Sep]]-priceTable[[#This Row],[Sold - Sep]]</f>
        <v>100</v>
      </c>
      <c r="G58">
        <v>6</v>
      </c>
      <c r="H58" s="33">
        <f>priceTable[[#This Row],[Start - Oct]]-priceTable[[#This Row],[Sold - Oct]]</f>
        <v>94</v>
      </c>
      <c r="I58">
        <v>3.15</v>
      </c>
      <c r="J58">
        <v>5</v>
      </c>
      <c r="K58" t="s">
        <v>172</v>
      </c>
      <c r="M58" s="32">
        <v>200</v>
      </c>
      <c r="N58">
        <f>IF(priceTable[[#This Row],[Start - Nov]]&gt;M58,0,M58-priceTable[[#This Row],[Start - Nov]])</f>
        <v>106</v>
      </c>
      <c r="O58" s="29">
        <f>(N58/priceTable[[#This Row],[Sold Units]])*priceTable[[#This Row],[Unit Cost]]</f>
        <v>11.872</v>
      </c>
      <c r="P58">
        <f>0+10</f>
        <v>10</v>
      </c>
      <c r="R58">
        <f>priceTable[[#This Row],[Start - Sep]]-P58</f>
        <v>100</v>
      </c>
      <c r="S58" s="29">
        <f>R58*priceTable[[#This Row],[Unit Cost]]</f>
        <v>56.000000000000007</v>
      </c>
      <c r="T58" s="29">
        <f>(R58/priceTable[[#This Row],[Sold Units]])*priceTable[[#This Row],[Member Price]]</f>
        <v>63</v>
      </c>
      <c r="U58" s="30">
        <f t="shared" si="0"/>
        <v>6.9999999999999929</v>
      </c>
    </row>
    <row r="59" spans="1:21" ht="30" customHeight="1" x14ac:dyDescent="0.25">
      <c r="A59">
        <v>4105</v>
      </c>
      <c r="B59" t="s">
        <v>59</v>
      </c>
      <c r="C59">
        <v>0.56000000000000005</v>
      </c>
      <c r="D59" s="28">
        <v>105</v>
      </c>
      <c r="F59" s="28">
        <f>priceTable[[#This Row],[Start - Sep]]-priceTable[[#This Row],[Sold - Sep]]</f>
        <v>105</v>
      </c>
      <c r="G59">
        <v>1</v>
      </c>
      <c r="H59" s="33">
        <f>priceTable[[#This Row],[Start - Oct]]-priceTable[[#This Row],[Sold - Oct]]</f>
        <v>104</v>
      </c>
      <c r="I59">
        <v>3.15</v>
      </c>
      <c r="J59">
        <v>5</v>
      </c>
      <c r="K59" t="s">
        <v>172</v>
      </c>
      <c r="M59" s="32">
        <v>200</v>
      </c>
      <c r="N59">
        <f>IF(priceTable[[#This Row],[Start - Nov]]&gt;M59,0,M59-priceTable[[#This Row],[Start - Nov]])</f>
        <v>96</v>
      </c>
      <c r="O59" s="29">
        <f>(N59/priceTable[[#This Row],[Sold Units]])*priceTable[[#This Row],[Unit Cost]]</f>
        <v>10.752000000000001</v>
      </c>
      <c r="R59">
        <f>priceTable[[#This Row],[Start - Sep]]-P59</f>
        <v>105</v>
      </c>
      <c r="S59" s="29">
        <f>R59*priceTable[[#This Row],[Unit Cost]]</f>
        <v>58.800000000000004</v>
      </c>
      <c r="T59" s="29">
        <f>(R59/priceTable[[#This Row],[Sold Units]])*priceTable[[#This Row],[Member Price]]</f>
        <v>66.149999999999991</v>
      </c>
      <c r="U59" s="30">
        <f t="shared" si="0"/>
        <v>7.3499999999999872</v>
      </c>
    </row>
    <row r="60" spans="1:21" ht="30" customHeight="1" x14ac:dyDescent="0.25">
      <c r="A60">
        <v>4106</v>
      </c>
      <c r="B60" t="s">
        <v>60</v>
      </c>
      <c r="C60">
        <v>0.56000000000000005</v>
      </c>
      <c r="D60" s="28">
        <v>96</v>
      </c>
      <c r="F60" s="28">
        <f>priceTable[[#This Row],[Start - Sep]]-priceTable[[#This Row],[Sold - Sep]]</f>
        <v>96</v>
      </c>
      <c r="G60">
        <v>1</v>
      </c>
      <c r="H60" s="33">
        <f>priceTable[[#This Row],[Start - Oct]]-priceTable[[#This Row],[Sold - Oct]]</f>
        <v>95</v>
      </c>
      <c r="I60">
        <v>3.15</v>
      </c>
      <c r="J60">
        <v>5</v>
      </c>
      <c r="K60" t="s">
        <v>172</v>
      </c>
      <c r="M60" s="32">
        <v>200</v>
      </c>
      <c r="N60">
        <f>IF(priceTable[[#This Row],[Start - Nov]]&gt;M60,0,M60-priceTable[[#This Row],[Start - Nov]])</f>
        <v>105</v>
      </c>
      <c r="O60" s="29">
        <f>(N60/priceTable[[#This Row],[Sold Units]])*priceTable[[#This Row],[Unit Cost]]</f>
        <v>11.760000000000002</v>
      </c>
      <c r="R60">
        <f>priceTable[[#This Row],[Start - Sep]]-P60</f>
        <v>96</v>
      </c>
      <c r="S60" s="29">
        <f>R60*priceTable[[#This Row],[Unit Cost]]</f>
        <v>53.760000000000005</v>
      </c>
      <c r="T60" s="29">
        <f>(R60/priceTable[[#This Row],[Sold Units]])*priceTable[[#This Row],[Member Price]]</f>
        <v>60.48</v>
      </c>
      <c r="U60" s="30">
        <f t="shared" si="0"/>
        <v>6.7199999999999918</v>
      </c>
    </row>
    <row r="61" spans="1:21" ht="30" customHeight="1" x14ac:dyDescent="0.25">
      <c r="A61">
        <v>4107</v>
      </c>
      <c r="B61" t="s">
        <v>61</v>
      </c>
      <c r="C61">
        <v>0.56000000000000005</v>
      </c>
      <c r="D61" s="28">
        <v>92</v>
      </c>
      <c r="F61" s="28">
        <f>priceTable[[#This Row],[Start - Sep]]-priceTable[[#This Row],[Sold - Sep]]</f>
        <v>92</v>
      </c>
      <c r="G61">
        <v>1</v>
      </c>
      <c r="H61" s="33">
        <f>priceTable[[#This Row],[Start - Oct]]-priceTable[[#This Row],[Sold - Oct]]</f>
        <v>91</v>
      </c>
      <c r="I61">
        <v>3.15</v>
      </c>
      <c r="J61">
        <v>5</v>
      </c>
      <c r="K61" t="s">
        <v>172</v>
      </c>
      <c r="M61" s="32">
        <v>200</v>
      </c>
      <c r="N61">
        <f>IF(priceTable[[#This Row],[Start - Nov]]&gt;M61,0,M61-priceTable[[#This Row],[Start - Nov]])</f>
        <v>109</v>
      </c>
      <c r="O61" s="29">
        <f>(N61/priceTable[[#This Row],[Sold Units]])*priceTable[[#This Row],[Unit Cost]]</f>
        <v>12.208000000000002</v>
      </c>
      <c r="R61">
        <f>priceTable[[#This Row],[Start - Sep]]-P61</f>
        <v>92</v>
      </c>
      <c r="S61" s="29">
        <f>R61*priceTable[[#This Row],[Unit Cost]]</f>
        <v>51.52</v>
      </c>
      <c r="T61" s="29">
        <f>(R61/priceTable[[#This Row],[Sold Units]])*priceTable[[#This Row],[Member Price]]</f>
        <v>57.959999999999994</v>
      </c>
      <c r="U61" s="30">
        <f t="shared" si="0"/>
        <v>6.4399999999999906</v>
      </c>
    </row>
    <row r="62" spans="1:21" ht="30" customHeight="1" x14ac:dyDescent="0.25">
      <c r="A62">
        <v>4108</v>
      </c>
      <c r="B62" t="s">
        <v>62</v>
      </c>
      <c r="C62">
        <v>0.56000000000000005</v>
      </c>
      <c r="D62" s="28">
        <v>83</v>
      </c>
      <c r="E62">
        <v>15</v>
      </c>
      <c r="F62" s="28">
        <f>priceTable[[#This Row],[Start - Sep]]-priceTable[[#This Row],[Sold - Sep]]</f>
        <v>68</v>
      </c>
      <c r="G62">
        <v>5</v>
      </c>
      <c r="H62" s="33">
        <f>priceTable[[#This Row],[Start - Oct]]-priceTable[[#This Row],[Sold - Oct]]</f>
        <v>63</v>
      </c>
      <c r="I62">
        <v>3.15</v>
      </c>
      <c r="J62">
        <v>5</v>
      </c>
      <c r="K62" t="s">
        <v>172</v>
      </c>
      <c r="M62" s="32">
        <v>200</v>
      </c>
      <c r="N62">
        <f>IF(priceTable[[#This Row],[Start - Nov]]&gt;M62,0,M62-priceTable[[#This Row],[Start - Nov]])</f>
        <v>137</v>
      </c>
      <c r="O62" s="29">
        <f>(N62/priceTable[[#This Row],[Sold Units]])*priceTable[[#This Row],[Unit Cost]]</f>
        <v>15.344000000000001</v>
      </c>
      <c r="P62">
        <f>5+10</f>
        <v>15</v>
      </c>
      <c r="R62">
        <f>priceTable[[#This Row],[Start - Sep]]-P62</f>
        <v>68</v>
      </c>
      <c r="S62" s="29">
        <f>R62*priceTable[[#This Row],[Unit Cost]]</f>
        <v>38.080000000000005</v>
      </c>
      <c r="T62" s="29">
        <f>(R62/priceTable[[#This Row],[Sold Units]])*priceTable[[#This Row],[Member Price]]</f>
        <v>42.839999999999996</v>
      </c>
      <c r="U62" s="30">
        <f t="shared" si="0"/>
        <v>4.7599999999999909</v>
      </c>
    </row>
    <row r="63" spans="1:21" ht="30" customHeight="1" x14ac:dyDescent="0.25">
      <c r="A63">
        <v>4300</v>
      </c>
      <c r="B63" t="s">
        <v>61</v>
      </c>
      <c r="C63">
        <v>3.95</v>
      </c>
      <c r="D63" s="28">
        <v>16</v>
      </c>
      <c r="F63" s="28">
        <f>priceTable[[#This Row],[Start - Sep]]-priceTable[[#This Row],[Sold - Sep]]</f>
        <v>16</v>
      </c>
      <c r="H63" s="33">
        <f>priceTable[[#This Row],[Start - Oct]]-priceTable[[#This Row],[Sold - Oct]]</f>
        <v>16</v>
      </c>
      <c r="I63">
        <v>4</v>
      </c>
      <c r="J63">
        <v>1</v>
      </c>
      <c r="K63" t="s">
        <v>64</v>
      </c>
      <c r="M63" s="32">
        <v>5</v>
      </c>
      <c r="N63">
        <f>IF(priceTable[[#This Row],[Start - Nov]]&gt;M63,0,M63-priceTable[[#This Row],[Start - Nov]])</f>
        <v>0</v>
      </c>
      <c r="O63" s="29">
        <f>(N63/priceTable[[#This Row],[Sold Units]])*priceTable[[#This Row],[Unit Cost]]</f>
        <v>0</v>
      </c>
      <c r="R63">
        <f>priceTable[[#This Row],[Start - Sep]]-P63</f>
        <v>16</v>
      </c>
      <c r="S63" s="29">
        <f>R63*priceTable[[#This Row],[Unit Cost]]</f>
        <v>63.2</v>
      </c>
      <c r="T63" s="29">
        <f>(R63/priceTable[[#This Row],[Sold Units]])*priceTable[[#This Row],[Member Price]]</f>
        <v>64</v>
      </c>
      <c r="U63" s="30">
        <f t="shared" si="0"/>
        <v>0.79999999999999716</v>
      </c>
    </row>
    <row r="64" spans="1:21" ht="30" customHeight="1" x14ac:dyDescent="0.25">
      <c r="A64">
        <v>4301</v>
      </c>
      <c r="B64" t="s">
        <v>66</v>
      </c>
      <c r="C64">
        <v>3.95</v>
      </c>
      <c r="D64" s="28">
        <v>6</v>
      </c>
      <c r="F64" s="28">
        <f>priceTable[[#This Row],[Start - Sep]]-priceTable[[#This Row],[Sold - Sep]]</f>
        <v>6</v>
      </c>
      <c r="G64">
        <v>2</v>
      </c>
      <c r="H64" s="33">
        <f>priceTable[[#This Row],[Start - Oct]]-priceTable[[#This Row],[Sold - Oct]]</f>
        <v>4</v>
      </c>
      <c r="I64">
        <v>4</v>
      </c>
      <c r="J64">
        <v>1</v>
      </c>
      <c r="K64" t="s">
        <v>64</v>
      </c>
      <c r="M64" s="32">
        <v>5</v>
      </c>
      <c r="N64">
        <f>IF(priceTable[[#This Row],[Start - Nov]]&gt;M64,0,M64-priceTable[[#This Row],[Start - Nov]])</f>
        <v>1</v>
      </c>
      <c r="O64" s="29">
        <f>(N64/priceTable[[#This Row],[Sold Units]])*priceTable[[#This Row],[Unit Cost]]</f>
        <v>3.95</v>
      </c>
      <c r="R64">
        <f>priceTable[[#This Row],[Start - Sep]]-P64</f>
        <v>6</v>
      </c>
      <c r="S64" s="29">
        <f>R64*priceTable[[#This Row],[Unit Cost]]</f>
        <v>23.700000000000003</v>
      </c>
      <c r="T64" s="29">
        <f>(R64/priceTable[[#This Row],[Sold Units]])*priceTable[[#This Row],[Member Price]]</f>
        <v>24</v>
      </c>
      <c r="U64" s="30">
        <f t="shared" si="0"/>
        <v>0.29999999999999716</v>
      </c>
    </row>
    <row r="65" spans="1:21" ht="30" customHeight="1" x14ac:dyDescent="0.25">
      <c r="A65">
        <v>4302</v>
      </c>
      <c r="B65" t="s">
        <v>67</v>
      </c>
      <c r="C65">
        <v>3.95</v>
      </c>
      <c r="D65" s="28">
        <v>1</v>
      </c>
      <c r="F65" s="28">
        <f>priceTable[[#This Row],[Start - Sep]]-priceTable[[#This Row],[Sold - Sep]]</f>
        <v>1</v>
      </c>
      <c r="G65">
        <v>1</v>
      </c>
      <c r="H65" s="33">
        <f>priceTable[[#This Row],[Start - Oct]]-priceTable[[#This Row],[Sold - Oct]]</f>
        <v>0</v>
      </c>
      <c r="I65">
        <v>4</v>
      </c>
      <c r="J65">
        <v>1</v>
      </c>
      <c r="K65" t="s">
        <v>64</v>
      </c>
      <c r="M65" s="32">
        <v>5</v>
      </c>
      <c r="N65">
        <f>IF(priceTable[[#This Row],[Start - Nov]]&gt;M65,0,M65-priceTable[[#This Row],[Start - Nov]])</f>
        <v>5</v>
      </c>
      <c r="O65" s="29">
        <f>(N65/priceTable[[#This Row],[Sold Units]])*priceTable[[#This Row],[Unit Cost]]</f>
        <v>19.75</v>
      </c>
      <c r="R65">
        <f>priceTable[[#This Row],[Start - Sep]]-P65</f>
        <v>1</v>
      </c>
      <c r="S65" s="29">
        <f>R65*priceTable[[#This Row],[Unit Cost]]</f>
        <v>3.95</v>
      </c>
      <c r="T65" s="29">
        <f>(R65/priceTable[[#This Row],[Sold Units]])*priceTable[[#This Row],[Member Price]]</f>
        <v>4</v>
      </c>
      <c r="U65" s="30">
        <f t="shared" si="0"/>
        <v>4.9999999999999822E-2</v>
      </c>
    </row>
    <row r="66" spans="1:21" ht="30" customHeight="1" x14ac:dyDescent="0.25">
      <c r="A66">
        <v>4303</v>
      </c>
      <c r="B66" t="s">
        <v>68</v>
      </c>
      <c r="C66">
        <v>3.95</v>
      </c>
      <c r="D66" s="28">
        <v>5</v>
      </c>
      <c r="F66" s="28">
        <f>priceTable[[#This Row],[Start - Sep]]-priceTable[[#This Row],[Sold - Sep]]</f>
        <v>5</v>
      </c>
      <c r="G66">
        <v>1</v>
      </c>
      <c r="H66" s="33">
        <f>priceTable[[#This Row],[Start - Oct]]-priceTable[[#This Row],[Sold - Oct]]</f>
        <v>4</v>
      </c>
      <c r="I66">
        <v>4</v>
      </c>
      <c r="J66">
        <v>1</v>
      </c>
      <c r="K66" t="s">
        <v>64</v>
      </c>
      <c r="M66" s="32">
        <v>5</v>
      </c>
      <c r="N66">
        <f>IF(priceTable[[#This Row],[Start - Nov]]&gt;M66,0,M66-priceTable[[#This Row],[Start - Nov]])</f>
        <v>1</v>
      </c>
      <c r="O66" s="29">
        <f>(N66/priceTable[[#This Row],[Sold Units]])*priceTable[[#This Row],[Unit Cost]]</f>
        <v>3.95</v>
      </c>
      <c r="R66">
        <f>priceTable[[#This Row],[Start - Sep]]-P66</f>
        <v>5</v>
      </c>
      <c r="S66" s="29">
        <f>R66*priceTable[[#This Row],[Unit Cost]]</f>
        <v>19.75</v>
      </c>
      <c r="T66" s="29">
        <f>(R66/priceTable[[#This Row],[Sold Units]])*priceTable[[#This Row],[Member Price]]</f>
        <v>20</v>
      </c>
      <c r="U66" s="30">
        <f t="shared" si="0"/>
        <v>0.25</v>
      </c>
    </row>
    <row r="67" spans="1:21" ht="30" customHeight="1" x14ac:dyDescent="0.25">
      <c r="A67">
        <v>4304</v>
      </c>
      <c r="B67" t="s">
        <v>69</v>
      </c>
      <c r="C67">
        <v>3.95</v>
      </c>
      <c r="D67" s="28">
        <v>1</v>
      </c>
      <c r="F67" s="28">
        <f>priceTable[[#This Row],[Start - Sep]]-priceTable[[#This Row],[Sold - Sep]]</f>
        <v>1</v>
      </c>
      <c r="H67" s="33">
        <f>priceTable[[#This Row],[Start - Oct]]-priceTable[[#This Row],[Sold - Oct]]</f>
        <v>1</v>
      </c>
      <c r="I67">
        <v>4</v>
      </c>
      <c r="J67">
        <v>1</v>
      </c>
      <c r="K67" t="s">
        <v>64</v>
      </c>
      <c r="M67" s="32">
        <v>5</v>
      </c>
      <c r="N67">
        <f>IF(priceTable[[#This Row],[Start - Nov]]&gt;M67,0,M67-priceTable[[#This Row],[Start - Nov]])</f>
        <v>4</v>
      </c>
      <c r="O67" s="29">
        <f>(N67/priceTable[[#This Row],[Sold Units]])*priceTable[[#This Row],[Unit Cost]]</f>
        <v>15.8</v>
      </c>
      <c r="R67">
        <f>priceTable[[#This Row],[Start - Sep]]-P67</f>
        <v>1</v>
      </c>
      <c r="S67" s="29">
        <f>R67*priceTable[[#This Row],[Unit Cost]]</f>
        <v>3.95</v>
      </c>
      <c r="T67" s="29">
        <f>(R67/priceTable[[#This Row],[Sold Units]])*priceTable[[#This Row],[Member Price]]</f>
        <v>4</v>
      </c>
      <c r="U67" s="30">
        <f t="shared" ref="U67:U110" si="1">T67-S67</f>
        <v>4.9999999999999822E-2</v>
      </c>
    </row>
    <row r="68" spans="1:21" ht="30" customHeight="1" x14ac:dyDescent="0.25">
      <c r="A68">
        <v>4305</v>
      </c>
      <c r="B68" t="s">
        <v>70</v>
      </c>
      <c r="C68">
        <v>3.95</v>
      </c>
      <c r="D68" s="28">
        <v>4</v>
      </c>
      <c r="F68" s="28">
        <f>priceTable[[#This Row],[Start - Sep]]-priceTable[[#This Row],[Sold - Sep]]</f>
        <v>4</v>
      </c>
      <c r="H68" s="33">
        <f>priceTable[[#This Row],[Start - Oct]]-priceTable[[#This Row],[Sold - Oct]]</f>
        <v>4</v>
      </c>
      <c r="I68">
        <v>4</v>
      </c>
      <c r="J68">
        <v>1</v>
      </c>
      <c r="K68" t="s">
        <v>64</v>
      </c>
      <c r="M68" s="32">
        <v>5</v>
      </c>
      <c r="N68">
        <f>IF(priceTable[[#This Row],[Start - Nov]]&gt;M68,0,M68-priceTable[[#This Row],[Start - Nov]])</f>
        <v>1</v>
      </c>
      <c r="O68" s="29">
        <f>(N68/priceTable[[#This Row],[Sold Units]])*priceTable[[#This Row],[Unit Cost]]</f>
        <v>3.95</v>
      </c>
      <c r="R68">
        <f>priceTable[[#This Row],[Start - Sep]]-P68</f>
        <v>4</v>
      </c>
      <c r="S68" s="29">
        <f>R68*priceTable[[#This Row],[Unit Cost]]</f>
        <v>15.8</v>
      </c>
      <c r="T68" s="29">
        <f>(R68/priceTable[[#This Row],[Sold Units]])*priceTable[[#This Row],[Member Price]]</f>
        <v>16</v>
      </c>
      <c r="U68" s="30">
        <f t="shared" si="1"/>
        <v>0.19999999999999929</v>
      </c>
    </row>
    <row r="69" spans="1:21" ht="30" customHeight="1" x14ac:dyDescent="0.25">
      <c r="A69">
        <v>4306</v>
      </c>
      <c r="B69" t="s">
        <v>71</v>
      </c>
      <c r="C69">
        <v>3.95</v>
      </c>
      <c r="D69" s="28">
        <v>2</v>
      </c>
      <c r="F69" s="28">
        <f>priceTable[[#This Row],[Start - Sep]]-priceTable[[#This Row],[Sold - Sep]]</f>
        <v>2</v>
      </c>
      <c r="G69">
        <v>2</v>
      </c>
      <c r="H69" s="33">
        <f>priceTable[[#This Row],[Start - Oct]]-priceTable[[#This Row],[Sold - Oct]]</f>
        <v>0</v>
      </c>
      <c r="I69">
        <v>4</v>
      </c>
      <c r="J69">
        <v>1</v>
      </c>
      <c r="K69" t="s">
        <v>64</v>
      </c>
      <c r="M69" s="32">
        <v>5</v>
      </c>
      <c r="N69">
        <f>IF(priceTable[[#This Row],[Start - Nov]]&gt;M69,0,M69-priceTable[[#This Row],[Start - Nov]])</f>
        <v>5</v>
      </c>
      <c r="O69" s="29">
        <f>(N69/priceTable[[#This Row],[Sold Units]])*priceTable[[#This Row],[Unit Cost]]</f>
        <v>19.75</v>
      </c>
      <c r="R69">
        <f>priceTable[[#This Row],[Start - Sep]]-P69</f>
        <v>2</v>
      </c>
      <c r="S69" s="29">
        <f>R69*priceTable[[#This Row],[Unit Cost]]</f>
        <v>7.9</v>
      </c>
      <c r="T69" s="29">
        <f>(R69/priceTable[[#This Row],[Sold Units]])*priceTable[[#This Row],[Member Price]]</f>
        <v>8</v>
      </c>
      <c r="U69" s="30">
        <f t="shared" si="1"/>
        <v>9.9999999999999645E-2</v>
      </c>
    </row>
    <row r="70" spans="1:21" ht="30" customHeight="1" x14ac:dyDescent="0.25">
      <c r="A70">
        <v>4307</v>
      </c>
      <c r="B70" t="s">
        <v>72</v>
      </c>
      <c r="C70">
        <v>3.95</v>
      </c>
      <c r="D70" s="28">
        <v>5</v>
      </c>
      <c r="F70" s="28">
        <f>priceTable[[#This Row],[Start - Sep]]-priceTable[[#This Row],[Sold - Sep]]</f>
        <v>5</v>
      </c>
      <c r="H70" s="33">
        <f>priceTable[[#This Row],[Start - Oct]]-priceTable[[#This Row],[Sold - Oct]]</f>
        <v>5</v>
      </c>
      <c r="I70">
        <v>4</v>
      </c>
      <c r="J70">
        <v>1</v>
      </c>
      <c r="K70" t="s">
        <v>64</v>
      </c>
      <c r="M70" s="32">
        <v>5</v>
      </c>
      <c r="N70">
        <f>IF(priceTable[[#This Row],[Start - Nov]]&gt;M70,0,M70-priceTable[[#This Row],[Start - Nov]])</f>
        <v>0</v>
      </c>
      <c r="O70" s="29">
        <f>(N70/priceTable[[#This Row],[Sold Units]])*priceTable[[#This Row],[Unit Cost]]</f>
        <v>0</v>
      </c>
      <c r="R70">
        <f>priceTable[[#This Row],[Start - Sep]]-P70</f>
        <v>5</v>
      </c>
      <c r="S70" s="29">
        <f>R70*priceTable[[#This Row],[Unit Cost]]</f>
        <v>19.75</v>
      </c>
      <c r="T70" s="29">
        <f>(R70/priceTable[[#This Row],[Sold Units]])*priceTable[[#This Row],[Member Price]]</f>
        <v>20</v>
      </c>
      <c r="U70" s="30">
        <f t="shared" si="1"/>
        <v>0.25</v>
      </c>
    </row>
    <row r="71" spans="1:21" ht="30" customHeight="1" x14ac:dyDescent="0.25">
      <c r="A71">
        <v>4308</v>
      </c>
      <c r="B71" t="s">
        <v>73</v>
      </c>
      <c r="C71">
        <v>3.95</v>
      </c>
      <c r="D71" s="28">
        <v>3</v>
      </c>
      <c r="F71" s="28">
        <f>priceTable[[#This Row],[Start - Sep]]-priceTable[[#This Row],[Sold - Sep]]</f>
        <v>3</v>
      </c>
      <c r="H71" s="33">
        <f>priceTable[[#This Row],[Start - Oct]]-priceTable[[#This Row],[Sold - Oct]]</f>
        <v>3</v>
      </c>
      <c r="I71">
        <v>4</v>
      </c>
      <c r="J71">
        <v>1</v>
      </c>
      <c r="K71" t="s">
        <v>64</v>
      </c>
      <c r="M71" s="32">
        <v>5</v>
      </c>
      <c r="N71">
        <f>IF(priceTable[[#This Row],[Start - Nov]]&gt;M71,0,M71-priceTable[[#This Row],[Start - Nov]])</f>
        <v>2</v>
      </c>
      <c r="O71" s="29">
        <f>(N71/priceTable[[#This Row],[Sold Units]])*priceTable[[#This Row],[Unit Cost]]</f>
        <v>7.9</v>
      </c>
      <c r="R71">
        <f>priceTable[[#This Row],[Start - Sep]]-P71</f>
        <v>3</v>
      </c>
      <c r="S71" s="29">
        <f>R71*priceTable[[#This Row],[Unit Cost]]</f>
        <v>11.850000000000001</v>
      </c>
      <c r="T71" s="29">
        <f>(R71/priceTable[[#This Row],[Sold Units]])*priceTable[[#This Row],[Member Price]]</f>
        <v>12</v>
      </c>
      <c r="U71" s="30">
        <f t="shared" si="1"/>
        <v>0.14999999999999858</v>
      </c>
    </row>
    <row r="72" spans="1:21" ht="30" customHeight="1" x14ac:dyDescent="0.25">
      <c r="A72">
        <v>4309</v>
      </c>
      <c r="B72" t="s">
        <v>74</v>
      </c>
      <c r="C72">
        <v>3.95</v>
      </c>
      <c r="D72" s="28">
        <v>3</v>
      </c>
      <c r="F72" s="28">
        <f>priceTable[[#This Row],[Start - Sep]]-priceTable[[#This Row],[Sold - Sep]]</f>
        <v>3</v>
      </c>
      <c r="H72" s="33">
        <f>priceTable[[#This Row],[Start - Oct]]-priceTable[[#This Row],[Sold - Oct]]</f>
        <v>3</v>
      </c>
      <c r="I72">
        <v>4</v>
      </c>
      <c r="J72">
        <v>1</v>
      </c>
      <c r="K72" t="s">
        <v>64</v>
      </c>
      <c r="M72" s="32">
        <v>5</v>
      </c>
      <c r="N72">
        <f>IF(priceTable[[#This Row],[Start - Nov]]&gt;M72,0,M72-priceTable[[#This Row],[Start - Nov]])</f>
        <v>2</v>
      </c>
      <c r="O72" s="29">
        <f>(N72/priceTable[[#This Row],[Sold Units]])*priceTable[[#This Row],[Unit Cost]]</f>
        <v>7.9</v>
      </c>
      <c r="R72">
        <f>priceTable[[#This Row],[Start - Sep]]-P72</f>
        <v>3</v>
      </c>
      <c r="S72" s="29">
        <f>R72*priceTable[[#This Row],[Unit Cost]]</f>
        <v>11.850000000000001</v>
      </c>
      <c r="T72" s="29">
        <f>(R72/priceTable[[#This Row],[Sold Units]])*priceTable[[#This Row],[Member Price]]</f>
        <v>12</v>
      </c>
      <c r="U72" s="30">
        <f t="shared" si="1"/>
        <v>0.14999999999999858</v>
      </c>
    </row>
    <row r="73" spans="1:21" ht="30" customHeight="1" x14ac:dyDescent="0.25">
      <c r="A73">
        <v>4310</v>
      </c>
      <c r="B73" t="s">
        <v>75</v>
      </c>
      <c r="C73">
        <v>3.95</v>
      </c>
      <c r="D73" s="28">
        <v>6</v>
      </c>
      <c r="F73" s="28">
        <f>priceTable[[#This Row],[Start - Sep]]-priceTable[[#This Row],[Sold - Sep]]</f>
        <v>6</v>
      </c>
      <c r="H73" s="33">
        <f>priceTable[[#This Row],[Start - Oct]]-priceTable[[#This Row],[Sold - Oct]]</f>
        <v>6</v>
      </c>
      <c r="I73">
        <v>4</v>
      </c>
      <c r="J73">
        <v>1</v>
      </c>
      <c r="K73" t="s">
        <v>64</v>
      </c>
      <c r="M73" s="32">
        <v>5</v>
      </c>
      <c r="N73">
        <f>IF(priceTable[[#This Row],[Start - Nov]]&gt;M73,0,M73-priceTable[[#This Row],[Start - Nov]])</f>
        <v>0</v>
      </c>
      <c r="O73" s="29">
        <f>(N73/priceTable[[#This Row],[Sold Units]])*priceTable[[#This Row],[Unit Cost]]</f>
        <v>0</v>
      </c>
      <c r="R73">
        <f>priceTable[[#This Row],[Start - Sep]]-P73</f>
        <v>6</v>
      </c>
      <c r="S73" s="29">
        <f>R73*priceTable[[#This Row],[Unit Cost]]</f>
        <v>23.700000000000003</v>
      </c>
      <c r="T73" s="29">
        <f>(R73/priceTable[[#This Row],[Sold Units]])*priceTable[[#This Row],[Member Price]]</f>
        <v>24</v>
      </c>
      <c r="U73" s="30">
        <f t="shared" si="1"/>
        <v>0.29999999999999716</v>
      </c>
    </row>
    <row r="74" spans="1:21" ht="30" customHeight="1" x14ac:dyDescent="0.25">
      <c r="A74">
        <v>4311</v>
      </c>
      <c r="B74" t="s">
        <v>76</v>
      </c>
      <c r="C74">
        <v>3.95</v>
      </c>
      <c r="D74" s="28">
        <v>8</v>
      </c>
      <c r="F74" s="28">
        <f>priceTable[[#This Row],[Start - Sep]]-priceTable[[#This Row],[Sold - Sep]]</f>
        <v>8</v>
      </c>
      <c r="H74" s="33">
        <f>priceTable[[#This Row],[Start - Oct]]-priceTable[[#This Row],[Sold - Oct]]</f>
        <v>8</v>
      </c>
      <c r="I74">
        <v>4</v>
      </c>
      <c r="J74">
        <v>1</v>
      </c>
      <c r="K74" t="s">
        <v>64</v>
      </c>
      <c r="M74" s="32">
        <v>5</v>
      </c>
      <c r="N74">
        <f>IF(priceTable[[#This Row],[Start - Nov]]&gt;M74,0,M74-priceTable[[#This Row],[Start - Nov]])</f>
        <v>0</v>
      </c>
      <c r="O74" s="29">
        <f>(N74/priceTable[[#This Row],[Sold Units]])*priceTable[[#This Row],[Unit Cost]]</f>
        <v>0</v>
      </c>
      <c r="R74">
        <f>priceTable[[#This Row],[Start - Sep]]-P74</f>
        <v>8</v>
      </c>
      <c r="S74" s="29">
        <f>R74*priceTable[[#This Row],[Unit Cost]]</f>
        <v>31.6</v>
      </c>
      <c r="T74" s="29">
        <f>(R74/priceTable[[#This Row],[Sold Units]])*priceTable[[#This Row],[Member Price]]</f>
        <v>32</v>
      </c>
      <c r="U74" s="30">
        <f t="shared" si="1"/>
        <v>0.39999999999999858</v>
      </c>
    </row>
    <row r="75" spans="1:21" ht="30" customHeight="1" x14ac:dyDescent="0.25">
      <c r="A75">
        <v>4312</v>
      </c>
      <c r="B75" t="s">
        <v>77</v>
      </c>
      <c r="C75">
        <v>3.95</v>
      </c>
      <c r="D75" s="28">
        <v>7</v>
      </c>
      <c r="F75" s="28">
        <f>priceTable[[#This Row],[Start - Sep]]-priceTable[[#This Row],[Sold - Sep]]</f>
        <v>7</v>
      </c>
      <c r="G75">
        <v>1</v>
      </c>
      <c r="H75" s="33">
        <f>priceTable[[#This Row],[Start - Oct]]-priceTable[[#This Row],[Sold - Oct]]</f>
        <v>6</v>
      </c>
      <c r="I75">
        <v>4</v>
      </c>
      <c r="J75">
        <v>1</v>
      </c>
      <c r="K75" t="s">
        <v>64</v>
      </c>
      <c r="M75" s="32">
        <v>5</v>
      </c>
      <c r="N75">
        <f>IF(priceTable[[#This Row],[Start - Nov]]&gt;M75,0,M75-priceTable[[#This Row],[Start - Nov]])</f>
        <v>0</v>
      </c>
      <c r="O75" s="29">
        <f>(N75/priceTable[[#This Row],[Sold Units]])*priceTable[[#This Row],[Unit Cost]]</f>
        <v>0</v>
      </c>
      <c r="R75">
        <f>priceTable[[#This Row],[Start - Sep]]-P75</f>
        <v>7</v>
      </c>
      <c r="S75" s="29">
        <f>R75*priceTable[[#This Row],[Unit Cost]]</f>
        <v>27.650000000000002</v>
      </c>
      <c r="T75" s="29">
        <f>(R75/priceTable[[#This Row],[Sold Units]])*priceTable[[#This Row],[Member Price]]</f>
        <v>28</v>
      </c>
      <c r="U75" s="30">
        <f t="shared" si="1"/>
        <v>0.34999999999999787</v>
      </c>
    </row>
    <row r="76" spans="1:21" ht="30" customHeight="1" x14ac:dyDescent="0.25">
      <c r="A76">
        <v>4313</v>
      </c>
      <c r="B76" t="s">
        <v>78</v>
      </c>
      <c r="C76">
        <v>3.95</v>
      </c>
      <c r="D76" s="28">
        <v>2</v>
      </c>
      <c r="F76" s="28">
        <f>priceTable[[#This Row],[Start - Sep]]-priceTable[[#This Row],[Sold - Sep]]</f>
        <v>2</v>
      </c>
      <c r="G76">
        <v>1</v>
      </c>
      <c r="H76" s="33">
        <f>priceTable[[#This Row],[Start - Oct]]-priceTable[[#This Row],[Sold - Oct]]</f>
        <v>1</v>
      </c>
      <c r="I76">
        <v>4</v>
      </c>
      <c r="J76">
        <v>1</v>
      </c>
      <c r="K76" t="s">
        <v>64</v>
      </c>
      <c r="M76" s="32">
        <v>5</v>
      </c>
      <c r="N76">
        <f>IF(priceTable[[#This Row],[Start - Nov]]&gt;M76,0,M76-priceTable[[#This Row],[Start - Nov]])</f>
        <v>4</v>
      </c>
      <c r="O76" s="29">
        <f>(N76/priceTable[[#This Row],[Sold Units]])*priceTable[[#This Row],[Unit Cost]]</f>
        <v>15.8</v>
      </c>
      <c r="R76">
        <f>priceTable[[#This Row],[Start - Sep]]-P76</f>
        <v>2</v>
      </c>
      <c r="S76" s="29">
        <f>R76*priceTable[[#This Row],[Unit Cost]]</f>
        <v>7.9</v>
      </c>
      <c r="T76" s="29">
        <f>(R76/priceTable[[#This Row],[Sold Units]])*priceTable[[#This Row],[Member Price]]</f>
        <v>8</v>
      </c>
      <c r="U76" s="30">
        <f t="shared" si="1"/>
        <v>9.9999999999999645E-2</v>
      </c>
    </row>
    <row r="77" spans="1:21" ht="30" customHeight="1" x14ac:dyDescent="0.25">
      <c r="A77">
        <v>4314</v>
      </c>
      <c r="B77" t="s">
        <v>79</v>
      </c>
      <c r="C77">
        <v>3.95</v>
      </c>
      <c r="D77" s="28">
        <v>5</v>
      </c>
      <c r="F77" s="28">
        <f>priceTable[[#This Row],[Start - Sep]]-priceTable[[#This Row],[Sold - Sep]]</f>
        <v>5</v>
      </c>
      <c r="H77" s="33">
        <f>priceTable[[#This Row],[Start - Oct]]-priceTable[[#This Row],[Sold - Oct]]</f>
        <v>5</v>
      </c>
      <c r="I77">
        <v>4</v>
      </c>
      <c r="J77">
        <v>1</v>
      </c>
      <c r="K77" t="s">
        <v>64</v>
      </c>
      <c r="M77" s="32">
        <v>5</v>
      </c>
      <c r="N77">
        <f>IF(priceTable[[#This Row],[Start - Nov]]&gt;M77,0,M77-priceTable[[#This Row],[Start - Nov]])</f>
        <v>0</v>
      </c>
      <c r="O77" s="29">
        <f>(N77/priceTable[[#This Row],[Sold Units]])*priceTable[[#This Row],[Unit Cost]]</f>
        <v>0</v>
      </c>
      <c r="R77">
        <f>priceTable[[#This Row],[Start - Sep]]-P77</f>
        <v>5</v>
      </c>
      <c r="S77" s="29">
        <f>R77*priceTable[[#This Row],[Unit Cost]]</f>
        <v>19.75</v>
      </c>
      <c r="T77" s="29">
        <f>(R77/priceTable[[#This Row],[Sold Units]])*priceTable[[#This Row],[Member Price]]</f>
        <v>20</v>
      </c>
      <c r="U77" s="30">
        <f t="shared" si="1"/>
        <v>0.25</v>
      </c>
    </row>
    <row r="78" spans="1:21" ht="30" customHeight="1" x14ac:dyDescent="0.25">
      <c r="A78">
        <v>4315</v>
      </c>
      <c r="B78" t="s">
        <v>80</v>
      </c>
      <c r="C78">
        <v>3.95</v>
      </c>
      <c r="D78" s="28">
        <v>2</v>
      </c>
      <c r="F78" s="28">
        <f>priceTable[[#This Row],[Start - Sep]]-priceTable[[#This Row],[Sold - Sep]]</f>
        <v>2</v>
      </c>
      <c r="G78">
        <v>1</v>
      </c>
      <c r="H78" s="33">
        <f>priceTable[[#This Row],[Start - Oct]]-priceTable[[#This Row],[Sold - Oct]]</f>
        <v>1</v>
      </c>
      <c r="I78">
        <v>4</v>
      </c>
      <c r="J78">
        <v>1</v>
      </c>
      <c r="K78" t="s">
        <v>64</v>
      </c>
      <c r="M78" s="32">
        <v>5</v>
      </c>
      <c r="N78">
        <f>IF(priceTable[[#This Row],[Start - Nov]]&gt;M78,0,M78-priceTable[[#This Row],[Start - Nov]])</f>
        <v>4</v>
      </c>
      <c r="O78" s="29">
        <f>(N78/priceTable[[#This Row],[Sold Units]])*priceTable[[#This Row],[Unit Cost]]</f>
        <v>15.8</v>
      </c>
      <c r="R78">
        <f>priceTable[[#This Row],[Start - Sep]]-P78</f>
        <v>2</v>
      </c>
      <c r="S78" s="29">
        <f>R78*priceTable[[#This Row],[Unit Cost]]</f>
        <v>7.9</v>
      </c>
      <c r="T78" s="29">
        <f>(R78/priceTable[[#This Row],[Sold Units]])*priceTable[[#This Row],[Member Price]]</f>
        <v>8</v>
      </c>
      <c r="U78" s="30">
        <f t="shared" si="1"/>
        <v>9.9999999999999645E-2</v>
      </c>
    </row>
    <row r="79" spans="1:21" ht="30" customHeight="1" x14ac:dyDescent="0.25">
      <c r="A79">
        <v>4316</v>
      </c>
      <c r="B79" t="s">
        <v>81</v>
      </c>
      <c r="C79">
        <v>3.95</v>
      </c>
      <c r="D79" s="28">
        <v>1</v>
      </c>
      <c r="E79">
        <v>1</v>
      </c>
      <c r="F79" s="28">
        <f>priceTable[[#This Row],[Start - Sep]]-priceTable[[#This Row],[Sold - Sep]]</f>
        <v>0</v>
      </c>
      <c r="H79" s="33">
        <f>priceTable[[#This Row],[Start - Oct]]-priceTable[[#This Row],[Sold - Oct]]</f>
        <v>0</v>
      </c>
      <c r="I79">
        <v>4</v>
      </c>
      <c r="J79">
        <v>1</v>
      </c>
      <c r="K79" t="s">
        <v>64</v>
      </c>
      <c r="M79" s="32">
        <v>5</v>
      </c>
      <c r="N79">
        <f>IF(priceTable[[#This Row],[Start - Nov]]&gt;M79,0,M79-priceTable[[#This Row],[Start - Nov]])</f>
        <v>5</v>
      </c>
      <c r="O79" s="29">
        <f>(N79/priceTable[[#This Row],[Sold Units]])*priceTable[[#This Row],[Unit Cost]]</f>
        <v>19.75</v>
      </c>
      <c r="P79">
        <v>1</v>
      </c>
      <c r="R79">
        <f>priceTable[[#This Row],[Start - Sep]]-P79</f>
        <v>0</v>
      </c>
      <c r="S79" s="29">
        <f>R79*priceTable[[#This Row],[Unit Cost]]</f>
        <v>0</v>
      </c>
      <c r="T79" s="29">
        <f>(R79/priceTable[[#This Row],[Sold Units]])*priceTable[[#This Row],[Member Price]]</f>
        <v>0</v>
      </c>
      <c r="U79" s="30">
        <f t="shared" si="1"/>
        <v>0</v>
      </c>
    </row>
    <row r="80" spans="1:21" ht="30" customHeight="1" x14ac:dyDescent="0.25">
      <c r="A80">
        <v>4317</v>
      </c>
      <c r="B80" t="s">
        <v>82</v>
      </c>
      <c r="C80">
        <v>3.95</v>
      </c>
      <c r="D80" s="28">
        <v>6</v>
      </c>
      <c r="F80" s="28">
        <f>priceTable[[#This Row],[Start - Sep]]-priceTable[[#This Row],[Sold - Sep]]</f>
        <v>6</v>
      </c>
      <c r="H80" s="33">
        <f>priceTable[[#This Row],[Start - Oct]]-priceTable[[#This Row],[Sold - Oct]]</f>
        <v>6</v>
      </c>
      <c r="I80">
        <v>4</v>
      </c>
      <c r="J80">
        <v>1</v>
      </c>
      <c r="K80" t="s">
        <v>64</v>
      </c>
      <c r="M80" s="32">
        <v>5</v>
      </c>
      <c r="N80">
        <f>IF(priceTable[[#This Row],[Start - Nov]]&gt;M80,0,M80-priceTable[[#This Row],[Start - Nov]])</f>
        <v>0</v>
      </c>
      <c r="O80" s="29">
        <f>(N80/priceTable[[#This Row],[Sold Units]])*priceTable[[#This Row],[Unit Cost]]</f>
        <v>0</v>
      </c>
      <c r="R80">
        <f>priceTable[[#This Row],[Start - Sep]]-P80</f>
        <v>6</v>
      </c>
      <c r="S80" s="29">
        <f>R80*priceTable[[#This Row],[Unit Cost]]</f>
        <v>23.700000000000003</v>
      </c>
      <c r="T80" s="29">
        <f>(R80/priceTable[[#This Row],[Sold Units]])*priceTable[[#This Row],[Member Price]]</f>
        <v>24</v>
      </c>
      <c r="U80" s="30">
        <f t="shared" si="1"/>
        <v>0.29999999999999716</v>
      </c>
    </row>
    <row r="81" spans="1:21" ht="30" customHeight="1" x14ac:dyDescent="0.25">
      <c r="A81">
        <v>4318</v>
      </c>
      <c r="B81" t="s">
        <v>83</v>
      </c>
      <c r="C81">
        <v>3.95</v>
      </c>
      <c r="D81" s="28">
        <v>4</v>
      </c>
      <c r="F81" s="28">
        <f>priceTable[[#This Row],[Start - Sep]]-priceTable[[#This Row],[Sold - Sep]]</f>
        <v>4</v>
      </c>
      <c r="G81">
        <v>1</v>
      </c>
      <c r="H81" s="33">
        <f>priceTable[[#This Row],[Start - Oct]]-priceTable[[#This Row],[Sold - Oct]]</f>
        <v>3</v>
      </c>
      <c r="I81">
        <v>4</v>
      </c>
      <c r="J81">
        <v>1</v>
      </c>
      <c r="K81" t="s">
        <v>64</v>
      </c>
      <c r="M81" s="32">
        <v>5</v>
      </c>
      <c r="N81">
        <f>IF(priceTable[[#This Row],[Start - Nov]]&gt;M81,0,M81-priceTable[[#This Row],[Start - Nov]])</f>
        <v>2</v>
      </c>
      <c r="O81" s="29">
        <f>(N81/priceTable[[#This Row],[Sold Units]])*priceTable[[#This Row],[Unit Cost]]</f>
        <v>7.9</v>
      </c>
      <c r="R81">
        <f>priceTable[[#This Row],[Start - Sep]]-P81</f>
        <v>4</v>
      </c>
      <c r="S81" s="29">
        <f>R81*priceTable[[#This Row],[Unit Cost]]</f>
        <v>15.8</v>
      </c>
      <c r="T81" s="29">
        <f>(R81/priceTable[[#This Row],[Sold Units]])*priceTable[[#This Row],[Member Price]]</f>
        <v>16</v>
      </c>
      <c r="U81" s="30">
        <f t="shared" si="1"/>
        <v>0.19999999999999929</v>
      </c>
    </row>
    <row r="82" spans="1:21" ht="30" customHeight="1" x14ac:dyDescent="0.25">
      <c r="A82">
        <v>4319</v>
      </c>
      <c r="B82" t="s">
        <v>84</v>
      </c>
      <c r="C82">
        <v>3.95</v>
      </c>
      <c r="D82" s="28">
        <v>4</v>
      </c>
      <c r="F82" s="28">
        <f>priceTable[[#This Row],[Start - Sep]]-priceTable[[#This Row],[Sold - Sep]]</f>
        <v>4</v>
      </c>
      <c r="G82">
        <v>2</v>
      </c>
      <c r="H82" s="33">
        <f>priceTable[[#This Row],[Start - Oct]]-priceTable[[#This Row],[Sold - Oct]]</f>
        <v>2</v>
      </c>
      <c r="I82">
        <v>4</v>
      </c>
      <c r="J82">
        <v>1</v>
      </c>
      <c r="K82" t="s">
        <v>64</v>
      </c>
      <c r="M82" s="32">
        <v>5</v>
      </c>
      <c r="N82">
        <f>IF(priceTable[[#This Row],[Start - Nov]]&gt;M82,0,M82-priceTable[[#This Row],[Start - Nov]])</f>
        <v>3</v>
      </c>
      <c r="O82" s="29">
        <f>(N82/priceTable[[#This Row],[Sold Units]])*priceTable[[#This Row],[Unit Cost]]</f>
        <v>11.850000000000001</v>
      </c>
      <c r="R82">
        <f>priceTable[[#This Row],[Start - Sep]]-P82</f>
        <v>4</v>
      </c>
      <c r="S82" s="29">
        <f>R82*priceTable[[#This Row],[Unit Cost]]</f>
        <v>15.8</v>
      </c>
      <c r="T82" s="29">
        <f>(R82/priceTable[[#This Row],[Sold Units]])*priceTable[[#This Row],[Member Price]]</f>
        <v>16</v>
      </c>
      <c r="U82" s="30">
        <f t="shared" si="1"/>
        <v>0.19999999999999929</v>
      </c>
    </row>
    <row r="83" spans="1:21" ht="30" customHeight="1" x14ac:dyDescent="0.25">
      <c r="A83">
        <v>4320</v>
      </c>
      <c r="B83" t="s">
        <v>85</v>
      </c>
      <c r="C83">
        <v>3.95</v>
      </c>
      <c r="D83" s="28">
        <v>6</v>
      </c>
      <c r="F83" s="28">
        <f>priceTable[[#This Row],[Start - Sep]]-priceTable[[#This Row],[Sold - Sep]]</f>
        <v>6</v>
      </c>
      <c r="H83" s="33">
        <f>priceTable[[#This Row],[Start - Oct]]-priceTable[[#This Row],[Sold - Oct]]</f>
        <v>6</v>
      </c>
      <c r="I83">
        <v>4</v>
      </c>
      <c r="J83">
        <v>1</v>
      </c>
      <c r="K83" t="s">
        <v>64</v>
      </c>
      <c r="M83" s="32">
        <v>5</v>
      </c>
      <c r="N83">
        <f>IF(priceTable[[#This Row],[Start - Nov]]&gt;M83,0,M83-priceTable[[#This Row],[Start - Nov]])</f>
        <v>0</v>
      </c>
      <c r="O83" s="29">
        <f>(N83/priceTable[[#This Row],[Sold Units]])*priceTable[[#This Row],[Unit Cost]]</f>
        <v>0</v>
      </c>
      <c r="R83">
        <f>priceTable[[#This Row],[Start - Sep]]-P83</f>
        <v>6</v>
      </c>
      <c r="S83" s="29">
        <f>R83*priceTable[[#This Row],[Unit Cost]]</f>
        <v>23.700000000000003</v>
      </c>
      <c r="T83" s="29">
        <f>(R83/priceTable[[#This Row],[Sold Units]])*priceTable[[#This Row],[Member Price]]</f>
        <v>24</v>
      </c>
      <c r="U83" s="30">
        <f t="shared" si="1"/>
        <v>0.29999999999999716</v>
      </c>
    </row>
    <row r="84" spans="1:21" ht="30" customHeight="1" x14ac:dyDescent="0.25">
      <c r="A84">
        <v>4321</v>
      </c>
      <c r="B84" t="s">
        <v>86</v>
      </c>
      <c r="C84">
        <v>3.95</v>
      </c>
      <c r="D84" s="28">
        <v>3</v>
      </c>
      <c r="F84" s="28">
        <f>priceTable[[#This Row],[Start - Sep]]-priceTable[[#This Row],[Sold - Sep]]</f>
        <v>3</v>
      </c>
      <c r="G84">
        <v>2</v>
      </c>
      <c r="H84" s="33">
        <f>priceTable[[#This Row],[Start - Oct]]-priceTable[[#This Row],[Sold - Oct]]</f>
        <v>1</v>
      </c>
      <c r="I84">
        <v>4</v>
      </c>
      <c r="J84">
        <v>1</v>
      </c>
      <c r="K84" t="s">
        <v>64</v>
      </c>
      <c r="M84" s="32">
        <v>5</v>
      </c>
      <c r="N84">
        <f>IF(priceTable[[#This Row],[Start - Nov]]&gt;M84,0,M84-priceTable[[#This Row],[Start - Nov]])</f>
        <v>4</v>
      </c>
      <c r="O84" s="29">
        <f>(N84/priceTable[[#This Row],[Sold Units]])*priceTable[[#This Row],[Unit Cost]]</f>
        <v>15.8</v>
      </c>
      <c r="R84">
        <f>priceTable[[#This Row],[Start - Sep]]-P84</f>
        <v>3</v>
      </c>
      <c r="S84" s="29">
        <f>R84*priceTable[[#This Row],[Unit Cost]]</f>
        <v>11.850000000000001</v>
      </c>
      <c r="T84" s="29">
        <f>(R84/priceTable[[#This Row],[Sold Units]])*priceTable[[#This Row],[Member Price]]</f>
        <v>12</v>
      </c>
      <c r="U84" s="30">
        <f t="shared" si="1"/>
        <v>0.14999999999999858</v>
      </c>
    </row>
    <row r="85" spans="1:21" ht="30" customHeight="1" x14ac:dyDescent="0.25">
      <c r="A85">
        <v>4322</v>
      </c>
      <c r="B85" t="s">
        <v>87</v>
      </c>
      <c r="C85">
        <v>3.95</v>
      </c>
      <c r="D85" s="28">
        <v>4</v>
      </c>
      <c r="E85">
        <v>1</v>
      </c>
      <c r="F85" s="28">
        <f>priceTable[[#This Row],[Start - Sep]]-priceTable[[#This Row],[Sold - Sep]]</f>
        <v>3</v>
      </c>
      <c r="G85">
        <v>2</v>
      </c>
      <c r="H85" s="33">
        <f>priceTable[[#This Row],[Start - Oct]]-priceTable[[#This Row],[Sold - Oct]]</f>
        <v>1</v>
      </c>
      <c r="I85">
        <v>4</v>
      </c>
      <c r="J85">
        <v>1</v>
      </c>
      <c r="K85" t="s">
        <v>64</v>
      </c>
      <c r="M85" s="32">
        <v>5</v>
      </c>
      <c r="N85">
        <f>IF(priceTable[[#This Row],[Start - Nov]]&gt;M85,0,M85-priceTable[[#This Row],[Start - Nov]])</f>
        <v>4</v>
      </c>
      <c r="O85" s="29">
        <f>(N85/priceTable[[#This Row],[Sold Units]])*priceTable[[#This Row],[Unit Cost]]</f>
        <v>15.8</v>
      </c>
      <c r="P85">
        <v>1</v>
      </c>
      <c r="R85">
        <f>priceTable[[#This Row],[Start - Sep]]-P85</f>
        <v>3</v>
      </c>
      <c r="S85" s="29">
        <f>R85*priceTable[[#This Row],[Unit Cost]]</f>
        <v>11.850000000000001</v>
      </c>
      <c r="T85" s="29">
        <f>(R85/priceTable[[#This Row],[Sold Units]])*priceTable[[#This Row],[Member Price]]</f>
        <v>12</v>
      </c>
      <c r="U85" s="30">
        <f t="shared" si="1"/>
        <v>0.14999999999999858</v>
      </c>
    </row>
    <row r="86" spans="1:21" ht="30" customHeight="1" x14ac:dyDescent="0.25">
      <c r="A86">
        <v>4323</v>
      </c>
      <c r="B86" t="s">
        <v>88</v>
      </c>
      <c r="C86">
        <v>3.95</v>
      </c>
      <c r="D86" s="28">
        <v>4</v>
      </c>
      <c r="E86">
        <v>1</v>
      </c>
      <c r="F86" s="28">
        <f>priceTable[[#This Row],[Start - Sep]]-priceTable[[#This Row],[Sold - Sep]]</f>
        <v>3</v>
      </c>
      <c r="G86">
        <v>2</v>
      </c>
      <c r="H86" s="33">
        <f>priceTable[[#This Row],[Start - Oct]]-priceTable[[#This Row],[Sold - Oct]]</f>
        <v>1</v>
      </c>
      <c r="I86">
        <v>4</v>
      </c>
      <c r="J86">
        <v>1</v>
      </c>
      <c r="K86" t="s">
        <v>64</v>
      </c>
      <c r="M86" s="32">
        <v>5</v>
      </c>
      <c r="N86">
        <f>IF(priceTable[[#This Row],[Start - Nov]]&gt;M86,0,M86-priceTable[[#This Row],[Start - Nov]])</f>
        <v>4</v>
      </c>
      <c r="O86" s="29">
        <f>(N86/priceTable[[#This Row],[Sold Units]])*priceTable[[#This Row],[Unit Cost]]</f>
        <v>15.8</v>
      </c>
      <c r="P86">
        <v>1</v>
      </c>
      <c r="R86">
        <f>priceTable[[#This Row],[Start - Sep]]-P86</f>
        <v>3</v>
      </c>
      <c r="S86" s="29">
        <f>R86*priceTable[[#This Row],[Unit Cost]]</f>
        <v>11.850000000000001</v>
      </c>
      <c r="T86" s="29">
        <f>(R86/priceTable[[#This Row],[Sold Units]])*priceTable[[#This Row],[Member Price]]</f>
        <v>12</v>
      </c>
      <c r="U86" s="30">
        <f t="shared" si="1"/>
        <v>0.14999999999999858</v>
      </c>
    </row>
    <row r="87" spans="1:21" ht="30" customHeight="1" x14ac:dyDescent="0.25">
      <c r="A87">
        <v>4324</v>
      </c>
      <c r="B87" t="s">
        <v>89</v>
      </c>
      <c r="C87">
        <v>3.95</v>
      </c>
      <c r="D87" s="28">
        <v>4</v>
      </c>
      <c r="F87" s="28">
        <f>priceTable[[#This Row],[Start - Sep]]-priceTable[[#This Row],[Sold - Sep]]</f>
        <v>4</v>
      </c>
      <c r="G87">
        <v>1</v>
      </c>
      <c r="H87" s="33">
        <f>priceTable[[#This Row],[Start - Oct]]-priceTable[[#This Row],[Sold - Oct]]</f>
        <v>3</v>
      </c>
      <c r="I87">
        <v>4</v>
      </c>
      <c r="J87">
        <v>1</v>
      </c>
      <c r="K87" t="s">
        <v>64</v>
      </c>
      <c r="M87" s="32">
        <v>5</v>
      </c>
      <c r="N87">
        <f>IF(priceTable[[#This Row],[Start - Nov]]&gt;M87,0,M87-priceTable[[#This Row],[Start - Nov]])</f>
        <v>2</v>
      </c>
      <c r="O87" s="29">
        <f>(N87/priceTable[[#This Row],[Sold Units]])*priceTable[[#This Row],[Unit Cost]]</f>
        <v>7.9</v>
      </c>
      <c r="R87">
        <f>priceTable[[#This Row],[Start - Sep]]-P87</f>
        <v>4</v>
      </c>
      <c r="S87" s="29">
        <f>R87*priceTable[[#This Row],[Unit Cost]]</f>
        <v>15.8</v>
      </c>
      <c r="T87" s="29">
        <f>(R87/priceTable[[#This Row],[Sold Units]])*priceTable[[#This Row],[Member Price]]</f>
        <v>16</v>
      </c>
      <c r="U87" s="30">
        <f t="shared" si="1"/>
        <v>0.19999999999999929</v>
      </c>
    </row>
    <row r="88" spans="1:21" ht="30" customHeight="1" x14ac:dyDescent="0.25">
      <c r="A88">
        <v>4325</v>
      </c>
      <c r="B88" t="s">
        <v>90</v>
      </c>
      <c r="C88">
        <v>3.95</v>
      </c>
      <c r="D88" s="28">
        <v>5</v>
      </c>
      <c r="F88" s="28">
        <f>priceTable[[#This Row],[Start - Sep]]-priceTable[[#This Row],[Sold - Sep]]</f>
        <v>5</v>
      </c>
      <c r="H88" s="33">
        <f>priceTable[[#This Row],[Start - Oct]]-priceTable[[#This Row],[Sold - Oct]]</f>
        <v>5</v>
      </c>
      <c r="I88">
        <v>4</v>
      </c>
      <c r="J88">
        <v>1</v>
      </c>
      <c r="K88" t="s">
        <v>64</v>
      </c>
      <c r="M88" s="32">
        <v>5</v>
      </c>
      <c r="N88">
        <f>IF(priceTable[[#This Row],[Start - Nov]]&gt;M88,0,M88-priceTable[[#This Row],[Start - Nov]])</f>
        <v>0</v>
      </c>
      <c r="O88" s="29">
        <f>(N88/priceTable[[#This Row],[Sold Units]])*priceTable[[#This Row],[Unit Cost]]</f>
        <v>0</v>
      </c>
      <c r="R88">
        <f>priceTable[[#This Row],[Start - Sep]]-P88</f>
        <v>5</v>
      </c>
      <c r="S88" s="29">
        <f>R88*priceTable[[#This Row],[Unit Cost]]</f>
        <v>19.75</v>
      </c>
      <c r="T88" s="29">
        <f>(R88/priceTable[[#This Row],[Sold Units]])*priceTable[[#This Row],[Member Price]]</f>
        <v>20</v>
      </c>
      <c r="U88" s="30">
        <f t="shared" si="1"/>
        <v>0.25</v>
      </c>
    </row>
    <row r="89" spans="1:21" ht="30" customHeight="1" x14ac:dyDescent="0.25">
      <c r="A89">
        <v>4326</v>
      </c>
      <c r="B89" t="s">
        <v>91</v>
      </c>
      <c r="C89">
        <v>3.95</v>
      </c>
      <c r="D89" s="28">
        <v>1</v>
      </c>
      <c r="F89" s="28">
        <f>priceTable[[#This Row],[Start - Sep]]-priceTable[[#This Row],[Sold - Sep]]</f>
        <v>1</v>
      </c>
      <c r="H89" s="33">
        <f>priceTable[[#This Row],[Start - Oct]]-priceTable[[#This Row],[Sold - Oct]]</f>
        <v>1</v>
      </c>
      <c r="I89">
        <v>4</v>
      </c>
      <c r="J89">
        <v>1</v>
      </c>
      <c r="K89" t="s">
        <v>64</v>
      </c>
      <c r="M89" s="32">
        <v>5</v>
      </c>
      <c r="N89">
        <f>IF(priceTable[[#This Row],[Start - Nov]]&gt;M89,0,M89-priceTable[[#This Row],[Start - Nov]])</f>
        <v>4</v>
      </c>
      <c r="O89" s="29">
        <f>(N89/priceTable[[#This Row],[Sold Units]])*priceTable[[#This Row],[Unit Cost]]</f>
        <v>15.8</v>
      </c>
      <c r="R89">
        <f>priceTable[[#This Row],[Start - Sep]]-P89</f>
        <v>1</v>
      </c>
      <c r="S89" s="29">
        <f>R89*priceTable[[#This Row],[Unit Cost]]</f>
        <v>3.95</v>
      </c>
      <c r="T89" s="29">
        <f>(R89/priceTable[[#This Row],[Sold Units]])*priceTable[[#This Row],[Member Price]]</f>
        <v>4</v>
      </c>
      <c r="U89" s="30">
        <f t="shared" si="1"/>
        <v>4.9999999999999822E-2</v>
      </c>
    </row>
    <row r="90" spans="1:21" ht="30" customHeight="1" x14ac:dyDescent="0.25">
      <c r="A90">
        <v>4327</v>
      </c>
      <c r="B90" t="s">
        <v>92</v>
      </c>
      <c r="C90">
        <v>3.95</v>
      </c>
      <c r="D90" s="28">
        <v>2</v>
      </c>
      <c r="E90">
        <v>1</v>
      </c>
      <c r="F90" s="28">
        <f>priceTable[[#This Row],[Start - Sep]]-priceTable[[#This Row],[Sold - Sep]]</f>
        <v>1</v>
      </c>
      <c r="H90" s="33">
        <f>priceTable[[#This Row],[Start - Oct]]-priceTable[[#This Row],[Sold - Oct]]</f>
        <v>1</v>
      </c>
      <c r="I90">
        <v>4</v>
      </c>
      <c r="J90">
        <v>1</v>
      </c>
      <c r="K90" t="s">
        <v>64</v>
      </c>
      <c r="M90" s="32">
        <v>5</v>
      </c>
      <c r="N90">
        <f>IF(priceTable[[#This Row],[Start - Nov]]&gt;M90,0,M90-priceTable[[#This Row],[Start - Nov]])</f>
        <v>4</v>
      </c>
      <c r="O90" s="29">
        <f>(N90/priceTable[[#This Row],[Sold Units]])*priceTable[[#This Row],[Unit Cost]]</f>
        <v>15.8</v>
      </c>
      <c r="P90">
        <v>1</v>
      </c>
      <c r="R90">
        <f>priceTable[[#This Row],[Start - Sep]]-P90</f>
        <v>1</v>
      </c>
      <c r="S90" s="29">
        <f>R90*priceTable[[#This Row],[Unit Cost]]</f>
        <v>3.95</v>
      </c>
      <c r="T90" s="29">
        <f>(R90/priceTable[[#This Row],[Sold Units]])*priceTable[[#This Row],[Member Price]]</f>
        <v>4</v>
      </c>
      <c r="U90" s="30">
        <f t="shared" si="1"/>
        <v>4.9999999999999822E-2</v>
      </c>
    </row>
    <row r="91" spans="1:21" ht="30" customHeight="1" x14ac:dyDescent="0.25">
      <c r="A91">
        <v>4328</v>
      </c>
      <c r="B91" t="s">
        <v>93</v>
      </c>
      <c r="C91">
        <v>3.95</v>
      </c>
      <c r="D91" s="28">
        <v>2</v>
      </c>
      <c r="F91" s="28">
        <f>priceTable[[#This Row],[Start - Sep]]-priceTable[[#This Row],[Sold - Sep]]</f>
        <v>2</v>
      </c>
      <c r="H91" s="33">
        <f>priceTable[[#This Row],[Start - Oct]]-priceTable[[#This Row],[Sold - Oct]]</f>
        <v>2</v>
      </c>
      <c r="I91">
        <v>4</v>
      </c>
      <c r="J91">
        <v>1</v>
      </c>
      <c r="K91" t="s">
        <v>64</v>
      </c>
      <c r="M91" s="32">
        <v>5</v>
      </c>
      <c r="N91">
        <f>IF(priceTable[[#This Row],[Start - Nov]]&gt;M91,0,M91-priceTable[[#This Row],[Start - Nov]])</f>
        <v>3</v>
      </c>
      <c r="O91" s="29">
        <f>(N91/priceTable[[#This Row],[Sold Units]])*priceTable[[#This Row],[Unit Cost]]</f>
        <v>11.850000000000001</v>
      </c>
      <c r="R91">
        <f>priceTable[[#This Row],[Start - Sep]]-P91</f>
        <v>2</v>
      </c>
      <c r="S91" s="29">
        <f>R91*priceTable[[#This Row],[Unit Cost]]</f>
        <v>7.9</v>
      </c>
      <c r="T91" s="29">
        <f>(R91/priceTable[[#This Row],[Sold Units]])*priceTable[[#This Row],[Member Price]]</f>
        <v>8</v>
      </c>
      <c r="U91" s="30">
        <f t="shared" si="1"/>
        <v>9.9999999999999645E-2</v>
      </c>
    </row>
    <row r="92" spans="1:21" ht="30" customHeight="1" x14ac:dyDescent="0.25">
      <c r="A92">
        <v>4329</v>
      </c>
      <c r="B92" t="s">
        <v>94</v>
      </c>
      <c r="C92">
        <v>3.95</v>
      </c>
      <c r="D92" s="28">
        <v>3</v>
      </c>
      <c r="F92" s="28">
        <f>priceTable[[#This Row],[Start - Sep]]-priceTable[[#This Row],[Sold - Sep]]</f>
        <v>3</v>
      </c>
      <c r="G92">
        <v>1</v>
      </c>
      <c r="H92" s="33">
        <f>priceTable[[#This Row],[Start - Oct]]-priceTable[[#This Row],[Sold - Oct]]</f>
        <v>2</v>
      </c>
      <c r="I92">
        <v>4</v>
      </c>
      <c r="J92">
        <v>1</v>
      </c>
      <c r="K92" t="s">
        <v>64</v>
      </c>
      <c r="M92" s="32">
        <v>5</v>
      </c>
      <c r="N92">
        <f>IF(priceTable[[#This Row],[Start - Nov]]&gt;M92,0,M92-priceTable[[#This Row],[Start - Nov]])</f>
        <v>3</v>
      </c>
      <c r="O92" s="29">
        <f>(N92/priceTable[[#This Row],[Sold Units]])*priceTable[[#This Row],[Unit Cost]]</f>
        <v>11.850000000000001</v>
      </c>
      <c r="R92">
        <f>priceTable[[#This Row],[Start - Sep]]-P92</f>
        <v>3</v>
      </c>
      <c r="S92" s="29">
        <f>R92*priceTable[[#This Row],[Unit Cost]]</f>
        <v>11.850000000000001</v>
      </c>
      <c r="T92" s="29">
        <f>(R92/priceTable[[#This Row],[Sold Units]])*priceTable[[#This Row],[Member Price]]</f>
        <v>12</v>
      </c>
      <c r="U92" s="30">
        <f t="shared" si="1"/>
        <v>0.14999999999999858</v>
      </c>
    </row>
    <row r="93" spans="1:21" ht="30" customHeight="1" x14ac:dyDescent="0.25">
      <c r="A93">
        <v>4330</v>
      </c>
      <c r="B93" t="s">
        <v>95</v>
      </c>
      <c r="C93">
        <v>3.95</v>
      </c>
      <c r="D93" s="28">
        <v>2</v>
      </c>
      <c r="F93" s="28">
        <f>priceTable[[#This Row],[Start - Sep]]-priceTable[[#This Row],[Sold - Sep]]</f>
        <v>2</v>
      </c>
      <c r="H93" s="33">
        <f>priceTable[[#This Row],[Start - Oct]]-priceTable[[#This Row],[Sold - Oct]]</f>
        <v>2</v>
      </c>
      <c r="I93">
        <v>4</v>
      </c>
      <c r="J93">
        <v>1</v>
      </c>
      <c r="K93" t="s">
        <v>64</v>
      </c>
      <c r="M93" s="32">
        <v>5</v>
      </c>
      <c r="N93">
        <f>IF(priceTable[[#This Row],[Start - Nov]]&gt;M93,0,M93-priceTable[[#This Row],[Start - Nov]])</f>
        <v>3</v>
      </c>
      <c r="O93" s="29">
        <f>(N93/priceTable[[#This Row],[Sold Units]])*priceTable[[#This Row],[Unit Cost]]</f>
        <v>11.850000000000001</v>
      </c>
      <c r="R93">
        <f>priceTable[[#This Row],[Start - Sep]]-P93</f>
        <v>2</v>
      </c>
      <c r="S93" s="29">
        <f>R93*priceTable[[#This Row],[Unit Cost]]</f>
        <v>7.9</v>
      </c>
      <c r="T93" s="29">
        <f>(R93/priceTable[[#This Row],[Sold Units]])*priceTable[[#This Row],[Member Price]]</f>
        <v>8</v>
      </c>
      <c r="U93" s="30">
        <f t="shared" si="1"/>
        <v>9.9999999999999645E-2</v>
      </c>
    </row>
    <row r="94" spans="1:21" ht="30" customHeight="1" x14ac:dyDescent="0.25">
      <c r="A94">
        <v>4331</v>
      </c>
      <c r="B94" t="s">
        <v>173</v>
      </c>
      <c r="C94">
        <v>3.95</v>
      </c>
      <c r="D94" s="28">
        <v>2</v>
      </c>
      <c r="F94" s="28">
        <f>priceTable[[#This Row],[Start - Sep]]-priceTable[[#This Row],[Sold - Sep]]</f>
        <v>2</v>
      </c>
      <c r="H94" s="33">
        <f>priceTable[[#This Row],[Start - Oct]]-priceTable[[#This Row],[Sold - Oct]]</f>
        <v>2</v>
      </c>
      <c r="I94">
        <v>4</v>
      </c>
      <c r="J94">
        <v>1</v>
      </c>
      <c r="K94" t="s">
        <v>64</v>
      </c>
      <c r="M94" s="32">
        <v>0</v>
      </c>
      <c r="N94">
        <f>IF(priceTable[[#This Row],[Start - Nov]]&gt;M94,0,M94-priceTable[[#This Row],[Start - Nov]])</f>
        <v>0</v>
      </c>
      <c r="O94" s="29">
        <f>(N94/priceTable[[#This Row],[Sold Units]])*priceTable[[#This Row],[Unit Cost]]</f>
        <v>0</v>
      </c>
      <c r="R94">
        <f>priceTable[[#This Row],[Start - Sep]]-P94</f>
        <v>2</v>
      </c>
      <c r="S94" s="29">
        <f>R94*priceTable[[#This Row],[Unit Cost]]</f>
        <v>7.9</v>
      </c>
      <c r="T94" s="29">
        <f>(R94/priceTable[[#This Row],[Sold Units]])*priceTable[[#This Row],[Member Price]]</f>
        <v>8</v>
      </c>
      <c r="U94" s="30">
        <f t="shared" si="1"/>
        <v>9.9999999999999645E-2</v>
      </c>
    </row>
    <row r="95" spans="1:21" ht="30" customHeight="1" x14ac:dyDescent="0.25">
      <c r="A95">
        <v>4332</v>
      </c>
      <c r="B95" t="s">
        <v>174</v>
      </c>
      <c r="C95">
        <v>3.95</v>
      </c>
      <c r="D95" s="28">
        <v>3</v>
      </c>
      <c r="F95" s="28">
        <f>priceTable[[#This Row],[Start - Sep]]-priceTable[[#This Row],[Sold - Sep]]</f>
        <v>3</v>
      </c>
      <c r="H95" s="33">
        <f>priceTable[[#This Row],[Start - Oct]]-priceTable[[#This Row],[Sold - Oct]]</f>
        <v>3</v>
      </c>
      <c r="I95">
        <v>4</v>
      </c>
      <c r="J95">
        <v>1</v>
      </c>
      <c r="K95" t="s">
        <v>64</v>
      </c>
      <c r="M95" s="32">
        <v>0</v>
      </c>
      <c r="N95">
        <f>IF(priceTable[[#This Row],[Start - Nov]]&gt;M95,0,M95-priceTable[[#This Row],[Start - Nov]])</f>
        <v>0</v>
      </c>
      <c r="O95" s="29">
        <f>(N95/priceTable[[#This Row],[Sold Units]])*priceTable[[#This Row],[Unit Cost]]</f>
        <v>0</v>
      </c>
      <c r="R95">
        <f>priceTable[[#This Row],[Start - Sep]]-P95</f>
        <v>3</v>
      </c>
      <c r="S95" s="29">
        <f>R95*priceTable[[#This Row],[Unit Cost]]</f>
        <v>11.850000000000001</v>
      </c>
      <c r="T95" s="29">
        <f>(R95/priceTable[[#This Row],[Sold Units]])*priceTable[[#This Row],[Member Price]]</f>
        <v>12</v>
      </c>
      <c r="U95" s="30">
        <f t="shared" si="1"/>
        <v>0.14999999999999858</v>
      </c>
    </row>
    <row r="96" spans="1:21" ht="30" customHeight="1" x14ac:dyDescent="0.25">
      <c r="A96">
        <v>4333</v>
      </c>
      <c r="B96" t="s">
        <v>175</v>
      </c>
      <c r="C96">
        <v>3.95</v>
      </c>
      <c r="D96" s="28">
        <v>1</v>
      </c>
      <c r="E96">
        <v>1</v>
      </c>
      <c r="F96" s="28">
        <f>priceTable[[#This Row],[Start - Sep]]-priceTable[[#This Row],[Sold - Sep]]</f>
        <v>0</v>
      </c>
      <c r="H96" s="33">
        <f>priceTable[[#This Row],[Start - Oct]]-priceTable[[#This Row],[Sold - Oct]]</f>
        <v>0</v>
      </c>
      <c r="I96">
        <v>4</v>
      </c>
      <c r="J96">
        <v>1</v>
      </c>
      <c r="K96" t="s">
        <v>64</v>
      </c>
      <c r="M96" s="32">
        <v>0</v>
      </c>
      <c r="N96">
        <f>IF(priceTable[[#This Row],[Start - Nov]]&gt;M96,0,M96-priceTable[[#This Row],[Start - Nov]])</f>
        <v>0</v>
      </c>
      <c r="O96" s="29">
        <f>(N96/priceTable[[#This Row],[Sold Units]])*priceTable[[#This Row],[Unit Cost]]</f>
        <v>0</v>
      </c>
      <c r="P96">
        <v>1</v>
      </c>
      <c r="R96">
        <f>priceTable[[#This Row],[Start - Sep]]-P96</f>
        <v>0</v>
      </c>
      <c r="S96" s="29">
        <f>R96*priceTable[[#This Row],[Unit Cost]]</f>
        <v>0</v>
      </c>
      <c r="T96" s="29">
        <f>(R96/priceTable[[#This Row],[Sold Units]])*priceTable[[#This Row],[Member Price]]</f>
        <v>0</v>
      </c>
      <c r="U96" s="30">
        <f t="shared" si="1"/>
        <v>0</v>
      </c>
    </row>
    <row r="97" spans="1:21" ht="30" customHeight="1" x14ac:dyDescent="0.25">
      <c r="A97">
        <v>4334</v>
      </c>
      <c r="B97" t="s">
        <v>176</v>
      </c>
      <c r="C97">
        <v>3.95</v>
      </c>
      <c r="D97" s="28">
        <v>3</v>
      </c>
      <c r="E97">
        <v>1</v>
      </c>
      <c r="F97" s="28">
        <f>priceTable[[#This Row],[Start - Sep]]-priceTable[[#This Row],[Sold - Sep]]</f>
        <v>2</v>
      </c>
      <c r="G97">
        <v>1</v>
      </c>
      <c r="H97" s="33">
        <f>priceTable[[#This Row],[Start - Oct]]-priceTable[[#This Row],[Sold - Oct]]</f>
        <v>1</v>
      </c>
      <c r="I97">
        <v>4</v>
      </c>
      <c r="J97">
        <v>1</v>
      </c>
      <c r="K97" t="s">
        <v>64</v>
      </c>
      <c r="M97" s="32">
        <v>0</v>
      </c>
      <c r="N97">
        <f>IF(priceTable[[#This Row],[Start - Nov]]&gt;M97,0,M97-priceTable[[#This Row],[Start - Nov]])</f>
        <v>0</v>
      </c>
      <c r="O97" s="29">
        <f>(N97/priceTable[[#This Row],[Sold Units]])*priceTable[[#This Row],[Unit Cost]]</f>
        <v>0</v>
      </c>
      <c r="P97">
        <v>1</v>
      </c>
      <c r="R97">
        <f>priceTable[[#This Row],[Start - Sep]]-P97</f>
        <v>2</v>
      </c>
      <c r="S97" s="29">
        <f>R97*priceTable[[#This Row],[Unit Cost]]</f>
        <v>7.9</v>
      </c>
      <c r="T97" s="29">
        <f>(R97/priceTable[[#This Row],[Sold Units]])*priceTable[[#This Row],[Member Price]]</f>
        <v>8</v>
      </c>
      <c r="U97" s="30">
        <f t="shared" si="1"/>
        <v>9.9999999999999645E-2</v>
      </c>
    </row>
    <row r="98" spans="1:21" ht="30" customHeight="1" x14ac:dyDescent="0.25">
      <c r="A98">
        <v>4335</v>
      </c>
      <c r="B98" t="s">
        <v>177</v>
      </c>
      <c r="C98">
        <v>3.95</v>
      </c>
      <c r="D98" s="28">
        <v>3</v>
      </c>
      <c r="F98" s="28">
        <f>priceTable[[#This Row],[Start - Sep]]-priceTable[[#This Row],[Sold - Sep]]</f>
        <v>3</v>
      </c>
      <c r="G98">
        <v>1</v>
      </c>
      <c r="H98" s="33">
        <f>priceTable[[#This Row],[Start - Oct]]-priceTable[[#This Row],[Sold - Oct]]</f>
        <v>2</v>
      </c>
      <c r="I98">
        <v>4</v>
      </c>
      <c r="J98">
        <v>1</v>
      </c>
      <c r="K98" t="s">
        <v>64</v>
      </c>
      <c r="M98" s="32">
        <v>0</v>
      </c>
      <c r="N98">
        <f>IF(priceTable[[#This Row],[Start - Nov]]&gt;M98,0,M98-priceTable[[#This Row],[Start - Nov]])</f>
        <v>0</v>
      </c>
      <c r="O98" s="29">
        <f>(N98/priceTable[[#This Row],[Sold Units]])*priceTable[[#This Row],[Unit Cost]]</f>
        <v>0</v>
      </c>
      <c r="R98">
        <f>priceTable[[#This Row],[Start - Sep]]-P98</f>
        <v>3</v>
      </c>
      <c r="S98" s="29">
        <f>R98*priceTable[[#This Row],[Unit Cost]]</f>
        <v>11.850000000000001</v>
      </c>
      <c r="T98" s="29">
        <f>(R98/priceTable[[#This Row],[Sold Units]])*priceTable[[#This Row],[Member Price]]</f>
        <v>12</v>
      </c>
      <c r="U98" s="30">
        <f t="shared" si="1"/>
        <v>0.14999999999999858</v>
      </c>
    </row>
    <row r="99" spans="1:21" ht="30" customHeight="1" x14ac:dyDescent="0.25">
      <c r="A99">
        <v>4336</v>
      </c>
      <c r="B99" t="s">
        <v>178</v>
      </c>
      <c r="C99">
        <v>3.95</v>
      </c>
      <c r="D99" s="28">
        <v>4</v>
      </c>
      <c r="F99" s="28">
        <f>priceTable[[#This Row],[Start - Sep]]-priceTable[[#This Row],[Sold - Sep]]</f>
        <v>4</v>
      </c>
      <c r="H99" s="33">
        <f>priceTable[[#This Row],[Start - Oct]]-priceTable[[#This Row],[Sold - Oct]]</f>
        <v>4</v>
      </c>
      <c r="I99">
        <v>4</v>
      </c>
      <c r="J99">
        <v>1</v>
      </c>
      <c r="K99" t="s">
        <v>64</v>
      </c>
      <c r="M99" s="32">
        <v>0</v>
      </c>
      <c r="N99">
        <f>IF(priceTable[[#This Row],[Start - Nov]]&gt;M99,0,M99-priceTable[[#This Row],[Start - Nov]])</f>
        <v>0</v>
      </c>
      <c r="O99" s="29">
        <f>(N99/priceTable[[#This Row],[Sold Units]])*priceTable[[#This Row],[Unit Cost]]</f>
        <v>0</v>
      </c>
      <c r="R99">
        <f>priceTable[[#This Row],[Start - Sep]]-P99</f>
        <v>4</v>
      </c>
      <c r="S99" s="29">
        <f>R99*priceTable[[#This Row],[Unit Cost]]</f>
        <v>15.8</v>
      </c>
      <c r="T99" s="29">
        <f>(R99/priceTable[[#This Row],[Sold Units]])*priceTable[[#This Row],[Member Price]]</f>
        <v>16</v>
      </c>
      <c r="U99" s="30">
        <f t="shared" si="1"/>
        <v>0.19999999999999929</v>
      </c>
    </row>
    <row r="100" spans="1:21" ht="30" customHeight="1" x14ac:dyDescent="0.25">
      <c r="A100">
        <v>4337</v>
      </c>
      <c r="B100" t="s">
        <v>179</v>
      </c>
      <c r="C100">
        <v>3.95</v>
      </c>
      <c r="D100" s="28">
        <v>2</v>
      </c>
      <c r="F100" s="28">
        <f>priceTable[[#This Row],[Start - Sep]]-priceTable[[#This Row],[Sold - Sep]]</f>
        <v>2</v>
      </c>
      <c r="H100" s="33">
        <f>priceTable[[#This Row],[Start - Oct]]-priceTable[[#This Row],[Sold - Oct]]</f>
        <v>2</v>
      </c>
      <c r="I100">
        <v>4</v>
      </c>
      <c r="J100">
        <v>1</v>
      </c>
      <c r="K100" t="s">
        <v>64</v>
      </c>
      <c r="M100" s="32">
        <v>0</v>
      </c>
      <c r="N100">
        <f>IF(priceTable[[#This Row],[Start - Nov]]&gt;M100,0,M100-priceTable[[#This Row],[Start - Nov]])</f>
        <v>0</v>
      </c>
      <c r="O100" s="29">
        <f>(N100/priceTable[[#This Row],[Sold Units]])*priceTable[[#This Row],[Unit Cost]]</f>
        <v>0</v>
      </c>
      <c r="R100">
        <f>priceTable[[#This Row],[Start - Sep]]-P100</f>
        <v>2</v>
      </c>
      <c r="S100" s="29">
        <f>R100*priceTable[[#This Row],[Unit Cost]]</f>
        <v>7.9</v>
      </c>
      <c r="T100" s="29">
        <f>(R100/priceTable[[#This Row],[Sold Units]])*priceTable[[#This Row],[Member Price]]</f>
        <v>8</v>
      </c>
      <c r="U100" s="30">
        <f t="shared" si="1"/>
        <v>9.9999999999999645E-2</v>
      </c>
    </row>
    <row r="101" spans="1:21" ht="30" customHeight="1" x14ac:dyDescent="0.25">
      <c r="A101">
        <v>4338</v>
      </c>
      <c r="B101" t="s">
        <v>180</v>
      </c>
      <c r="C101">
        <v>3.95</v>
      </c>
      <c r="D101" s="28">
        <v>1</v>
      </c>
      <c r="F101" s="28">
        <f>priceTable[[#This Row],[Start - Sep]]-priceTable[[#This Row],[Sold - Sep]]</f>
        <v>1</v>
      </c>
      <c r="H101" s="33">
        <f>priceTable[[#This Row],[Start - Oct]]-priceTable[[#This Row],[Sold - Oct]]</f>
        <v>1</v>
      </c>
      <c r="I101">
        <v>4</v>
      </c>
      <c r="J101">
        <v>1</v>
      </c>
      <c r="K101" t="s">
        <v>64</v>
      </c>
      <c r="M101" s="32">
        <v>0</v>
      </c>
      <c r="N101">
        <f>IF(priceTable[[#This Row],[Start - Nov]]&gt;M101,0,M101-priceTable[[#This Row],[Start - Nov]])</f>
        <v>0</v>
      </c>
      <c r="O101" s="29">
        <f>(N101/priceTable[[#This Row],[Sold Units]])*priceTable[[#This Row],[Unit Cost]]</f>
        <v>0</v>
      </c>
      <c r="R101">
        <f>priceTable[[#This Row],[Start - Sep]]-P101</f>
        <v>1</v>
      </c>
      <c r="S101" s="29">
        <f>R101*priceTable[[#This Row],[Unit Cost]]</f>
        <v>3.95</v>
      </c>
      <c r="T101" s="29">
        <f>(R101/priceTable[[#This Row],[Sold Units]])*priceTable[[#This Row],[Member Price]]</f>
        <v>4</v>
      </c>
      <c r="U101" s="30">
        <f t="shared" si="1"/>
        <v>4.9999999999999822E-2</v>
      </c>
    </row>
    <row r="102" spans="1:21" ht="30" customHeight="1" x14ac:dyDescent="0.25">
      <c r="A102">
        <v>4339</v>
      </c>
      <c r="B102" t="s">
        <v>181</v>
      </c>
      <c r="C102">
        <v>3.95</v>
      </c>
      <c r="D102" s="28">
        <v>1</v>
      </c>
      <c r="F102" s="28">
        <f>priceTable[[#This Row],[Start - Sep]]-priceTable[[#This Row],[Sold - Sep]]</f>
        <v>1</v>
      </c>
      <c r="H102" s="33">
        <f>priceTable[[#This Row],[Start - Oct]]-priceTable[[#This Row],[Sold - Oct]]</f>
        <v>1</v>
      </c>
      <c r="I102">
        <v>4</v>
      </c>
      <c r="J102">
        <v>1</v>
      </c>
      <c r="K102" t="s">
        <v>64</v>
      </c>
      <c r="M102" s="32">
        <v>0</v>
      </c>
      <c r="N102">
        <f>IF(priceTable[[#This Row],[Start - Nov]]&gt;M102,0,M102-priceTable[[#This Row],[Start - Nov]])</f>
        <v>0</v>
      </c>
      <c r="O102" s="29">
        <f>(N102/priceTable[[#This Row],[Sold Units]])*priceTable[[#This Row],[Unit Cost]]</f>
        <v>0</v>
      </c>
      <c r="R102">
        <f>priceTable[[#This Row],[Start - Sep]]-P102</f>
        <v>1</v>
      </c>
      <c r="S102" s="29">
        <f>R102*priceTable[[#This Row],[Unit Cost]]</f>
        <v>3.95</v>
      </c>
      <c r="T102" s="29">
        <f>(R102/priceTable[[#This Row],[Sold Units]])*priceTable[[#This Row],[Member Price]]</f>
        <v>4</v>
      </c>
      <c r="U102" s="30">
        <f t="shared" si="1"/>
        <v>4.9999999999999822E-2</v>
      </c>
    </row>
    <row r="103" spans="1:21" ht="30" customHeight="1" x14ac:dyDescent="0.25">
      <c r="A103">
        <v>4340</v>
      </c>
      <c r="B103" t="s">
        <v>182</v>
      </c>
      <c r="C103">
        <v>3.95</v>
      </c>
      <c r="D103" s="28">
        <v>0</v>
      </c>
      <c r="F103" s="28">
        <f>priceTable[[#This Row],[Start - Sep]]-priceTable[[#This Row],[Sold - Sep]]</f>
        <v>0</v>
      </c>
      <c r="H103" s="33">
        <f>priceTable[[#This Row],[Start - Oct]]-priceTable[[#This Row],[Sold - Oct]]</f>
        <v>0</v>
      </c>
      <c r="I103">
        <v>4</v>
      </c>
      <c r="J103">
        <v>1</v>
      </c>
      <c r="K103" t="s">
        <v>64</v>
      </c>
      <c r="M103" s="32">
        <v>0</v>
      </c>
      <c r="N103">
        <f>IF(priceTable[[#This Row],[Start - Nov]]&gt;M103,0,M103-priceTable[[#This Row],[Start - Nov]])</f>
        <v>0</v>
      </c>
      <c r="O103" s="29">
        <f>(N103/priceTable[[#This Row],[Sold Units]])*priceTable[[#This Row],[Unit Cost]]</f>
        <v>0</v>
      </c>
      <c r="R103">
        <f>priceTable[[#This Row],[Start - Sep]]-P103</f>
        <v>0</v>
      </c>
      <c r="S103" s="29">
        <f>R103*priceTable[[#This Row],[Unit Cost]]</f>
        <v>0</v>
      </c>
      <c r="T103" s="29">
        <f>(R103/priceTable[[#This Row],[Sold Units]])*priceTable[[#This Row],[Member Price]]</f>
        <v>0</v>
      </c>
      <c r="U103" s="30">
        <f t="shared" si="1"/>
        <v>0</v>
      </c>
    </row>
    <row r="104" spans="1:21" ht="30" customHeight="1" x14ac:dyDescent="0.25">
      <c r="A104">
        <v>4341</v>
      </c>
      <c r="B104" t="s">
        <v>183</v>
      </c>
      <c r="C104">
        <v>3.95</v>
      </c>
      <c r="D104" s="28">
        <v>0</v>
      </c>
      <c r="F104" s="28">
        <f>priceTable[[#This Row],[Start - Sep]]-priceTable[[#This Row],[Sold - Sep]]</f>
        <v>0</v>
      </c>
      <c r="H104" s="33">
        <f>priceTable[[#This Row],[Start - Oct]]-priceTable[[#This Row],[Sold - Oct]]</f>
        <v>0</v>
      </c>
      <c r="I104">
        <v>4</v>
      </c>
      <c r="J104">
        <v>1</v>
      </c>
      <c r="K104" t="s">
        <v>64</v>
      </c>
      <c r="M104" s="32">
        <v>0</v>
      </c>
      <c r="N104">
        <f>IF(priceTable[[#This Row],[Start - Nov]]&gt;M104,0,M104-priceTable[[#This Row],[Start - Nov]])</f>
        <v>0</v>
      </c>
      <c r="O104" s="29">
        <f>(N104/priceTable[[#This Row],[Sold Units]])*priceTable[[#This Row],[Unit Cost]]</f>
        <v>0</v>
      </c>
      <c r="R104">
        <f>priceTable[[#This Row],[Start - Sep]]-P104</f>
        <v>0</v>
      </c>
      <c r="S104" s="29">
        <f>R104*priceTable[[#This Row],[Unit Cost]]</f>
        <v>0</v>
      </c>
      <c r="T104" s="29">
        <f>(R104/priceTable[[#This Row],[Sold Units]])*priceTable[[#This Row],[Member Price]]</f>
        <v>0</v>
      </c>
      <c r="U104" s="30">
        <f t="shared" si="1"/>
        <v>0</v>
      </c>
    </row>
    <row r="105" spans="1:21" ht="30" customHeight="1" x14ac:dyDescent="0.25">
      <c r="A105">
        <v>4342</v>
      </c>
      <c r="B105" t="s">
        <v>184</v>
      </c>
      <c r="C105">
        <v>3.95</v>
      </c>
      <c r="D105" s="28">
        <v>0</v>
      </c>
      <c r="F105" s="28">
        <f>priceTable[[#This Row],[Start - Sep]]-priceTable[[#This Row],[Sold - Sep]]</f>
        <v>0</v>
      </c>
      <c r="H105" s="33">
        <f>priceTable[[#This Row],[Start - Oct]]-priceTable[[#This Row],[Sold - Oct]]</f>
        <v>0</v>
      </c>
      <c r="I105">
        <v>4</v>
      </c>
      <c r="J105">
        <v>1</v>
      </c>
      <c r="K105" t="s">
        <v>64</v>
      </c>
      <c r="M105" s="32">
        <v>0</v>
      </c>
      <c r="N105">
        <f>IF(priceTable[[#This Row],[Start - Nov]]&gt;M105,0,M105-priceTable[[#This Row],[Start - Nov]])</f>
        <v>0</v>
      </c>
      <c r="O105" s="29">
        <f>(N105/priceTable[[#This Row],[Sold Units]])*priceTable[[#This Row],[Unit Cost]]</f>
        <v>0</v>
      </c>
      <c r="R105">
        <f>priceTable[[#This Row],[Start - Sep]]-P105</f>
        <v>0</v>
      </c>
      <c r="S105" s="29">
        <f>R105*priceTable[[#This Row],[Unit Cost]]</f>
        <v>0</v>
      </c>
      <c r="T105" s="29">
        <f>(R105/priceTable[[#This Row],[Sold Units]])*priceTable[[#This Row],[Member Price]]</f>
        <v>0</v>
      </c>
      <c r="U105" s="30">
        <f t="shared" si="1"/>
        <v>0</v>
      </c>
    </row>
    <row r="106" spans="1:21" ht="30" customHeight="1" x14ac:dyDescent="0.25">
      <c r="A106">
        <v>4343</v>
      </c>
      <c r="B106" t="s">
        <v>185</v>
      </c>
      <c r="C106">
        <v>3.95</v>
      </c>
      <c r="D106" s="28">
        <v>0</v>
      </c>
      <c r="F106" s="28">
        <f>priceTable[[#This Row],[Start - Sep]]-priceTable[[#This Row],[Sold - Sep]]</f>
        <v>0</v>
      </c>
      <c r="H106" s="33">
        <f>priceTable[[#This Row],[Start - Oct]]-priceTable[[#This Row],[Sold - Oct]]</f>
        <v>0</v>
      </c>
      <c r="I106">
        <v>4</v>
      </c>
      <c r="J106">
        <v>1</v>
      </c>
      <c r="K106" t="s">
        <v>64</v>
      </c>
      <c r="M106" s="32">
        <v>0</v>
      </c>
      <c r="N106">
        <f>IF(priceTable[[#This Row],[Start - Nov]]&gt;M106,0,M106-priceTable[[#This Row],[Start - Nov]])</f>
        <v>0</v>
      </c>
      <c r="O106" s="29">
        <f>(N106/priceTable[[#This Row],[Sold Units]])*priceTable[[#This Row],[Unit Cost]]</f>
        <v>0</v>
      </c>
      <c r="R106">
        <f>priceTable[[#This Row],[Start - Sep]]-P106</f>
        <v>0</v>
      </c>
      <c r="S106" s="29">
        <f>R106*priceTable[[#This Row],[Unit Cost]]</f>
        <v>0</v>
      </c>
      <c r="T106" s="29">
        <f>(R106/priceTable[[#This Row],[Sold Units]])*priceTable[[#This Row],[Member Price]]</f>
        <v>0</v>
      </c>
      <c r="U106" s="30">
        <f t="shared" si="1"/>
        <v>0</v>
      </c>
    </row>
    <row r="107" spans="1:21" ht="30" customHeight="1" x14ac:dyDescent="0.25">
      <c r="A107">
        <v>4344</v>
      </c>
      <c r="B107" t="s">
        <v>186</v>
      </c>
      <c r="C107">
        <v>3.95</v>
      </c>
      <c r="D107" s="28">
        <v>0</v>
      </c>
      <c r="F107" s="28">
        <f>priceTable[[#This Row],[Start - Sep]]-priceTable[[#This Row],[Sold - Sep]]</f>
        <v>0</v>
      </c>
      <c r="H107" s="33">
        <f>priceTable[[#This Row],[Start - Oct]]-priceTable[[#This Row],[Sold - Oct]]</f>
        <v>0</v>
      </c>
      <c r="I107">
        <v>4</v>
      </c>
      <c r="J107">
        <v>1</v>
      </c>
      <c r="K107" t="s">
        <v>64</v>
      </c>
      <c r="M107" s="32">
        <v>0</v>
      </c>
      <c r="N107">
        <f>IF(priceTable[[#This Row],[Start - Nov]]&gt;M107,0,M107-priceTable[[#This Row],[Start - Nov]])</f>
        <v>0</v>
      </c>
      <c r="O107" s="29">
        <f>(N107/priceTable[[#This Row],[Sold Units]])*priceTable[[#This Row],[Unit Cost]]</f>
        <v>0</v>
      </c>
      <c r="R107">
        <f>priceTable[[#This Row],[Start - Sep]]-P107</f>
        <v>0</v>
      </c>
      <c r="S107" s="29">
        <f>R107*priceTable[[#This Row],[Unit Cost]]</f>
        <v>0</v>
      </c>
      <c r="T107" s="29">
        <f>(R107/priceTable[[#This Row],[Sold Units]])*priceTable[[#This Row],[Member Price]]</f>
        <v>0</v>
      </c>
      <c r="U107" s="30">
        <f t="shared" si="1"/>
        <v>0</v>
      </c>
    </row>
    <row r="108" spans="1:21" ht="30" customHeight="1" x14ac:dyDescent="0.25">
      <c r="A108">
        <v>4345</v>
      </c>
      <c r="B108" t="s">
        <v>187</v>
      </c>
      <c r="C108">
        <v>3.95</v>
      </c>
      <c r="D108" s="28">
        <v>0</v>
      </c>
      <c r="F108" s="28">
        <f>priceTable[[#This Row],[Start - Sep]]-priceTable[[#This Row],[Sold - Sep]]</f>
        <v>0</v>
      </c>
      <c r="H108" s="33">
        <f>priceTable[[#This Row],[Start - Oct]]-priceTable[[#This Row],[Sold - Oct]]</f>
        <v>0</v>
      </c>
      <c r="I108">
        <v>4</v>
      </c>
      <c r="J108">
        <v>1</v>
      </c>
      <c r="K108" t="s">
        <v>64</v>
      </c>
      <c r="M108" s="32">
        <v>0</v>
      </c>
      <c r="N108">
        <f>IF(priceTable[[#This Row],[Start - Nov]]&gt;M108,0,M108-priceTable[[#This Row],[Start - Nov]])</f>
        <v>0</v>
      </c>
      <c r="O108" s="29">
        <f>(N108/priceTable[[#This Row],[Sold Units]])*priceTable[[#This Row],[Unit Cost]]</f>
        <v>0</v>
      </c>
      <c r="R108">
        <f>priceTable[[#This Row],[Start - Sep]]-P108</f>
        <v>0</v>
      </c>
      <c r="S108" s="29">
        <f>R108*priceTable[[#This Row],[Unit Cost]]</f>
        <v>0</v>
      </c>
      <c r="T108" s="29">
        <f>(R108/priceTable[[#This Row],[Sold Units]])*priceTable[[#This Row],[Member Price]]</f>
        <v>0</v>
      </c>
      <c r="U108" s="30">
        <f t="shared" si="1"/>
        <v>0</v>
      </c>
    </row>
    <row r="109" spans="1:21" ht="30" customHeight="1" x14ac:dyDescent="0.25">
      <c r="A109">
        <v>4399</v>
      </c>
      <c r="B109" t="s">
        <v>65</v>
      </c>
      <c r="C109">
        <v>3.95</v>
      </c>
      <c r="D109" s="28">
        <v>8</v>
      </c>
      <c r="F109" s="28">
        <f>priceTable[[#This Row],[Start - Sep]]-priceTable[[#This Row],[Sold - Sep]]</f>
        <v>8</v>
      </c>
      <c r="H109" s="33">
        <f>priceTable[[#This Row],[Start - Oct]]-priceTable[[#This Row],[Sold - Oct]]</f>
        <v>8</v>
      </c>
      <c r="I109">
        <v>4</v>
      </c>
      <c r="J109">
        <v>1</v>
      </c>
      <c r="K109" t="s">
        <v>64</v>
      </c>
      <c r="M109" s="32">
        <v>5</v>
      </c>
      <c r="N109">
        <f>IF(priceTable[[#This Row],[Start - Nov]]&gt;M109,0,M109-priceTable[[#This Row],[Start - Nov]])</f>
        <v>0</v>
      </c>
      <c r="O109" s="29">
        <f>(N109/priceTable[[#This Row],[Sold Units]])*priceTable[[#This Row],[Unit Cost]]</f>
        <v>0</v>
      </c>
      <c r="R109">
        <f>priceTable[[#This Row],[Start - Sep]]-P109</f>
        <v>8</v>
      </c>
      <c r="S109" s="29">
        <f>R109*priceTable[[#This Row],[Unit Cost]]</f>
        <v>31.6</v>
      </c>
      <c r="T109" s="29">
        <f>(R109/priceTable[[#This Row],[Sold Units]])*priceTable[[#This Row],[Member Price]]</f>
        <v>32</v>
      </c>
      <c r="U109" s="30">
        <f t="shared" si="1"/>
        <v>0.39999999999999858</v>
      </c>
    </row>
    <row r="110" spans="1:21" ht="30" customHeight="1" x14ac:dyDescent="0.25">
      <c r="A110">
        <v>9130</v>
      </c>
      <c r="B110" t="s">
        <v>171</v>
      </c>
      <c r="C110">
        <v>5</v>
      </c>
      <c r="D110" s="28">
        <v>6</v>
      </c>
      <c r="E110">
        <v>1</v>
      </c>
      <c r="F110" s="28">
        <f>priceTable[[#This Row],[Start - Sep]]-priceTable[[#This Row],[Sold - Sep]]</f>
        <v>5</v>
      </c>
      <c r="G110">
        <v>1</v>
      </c>
      <c r="H110" s="33">
        <f>priceTable[[#This Row],[Start - Oct]]-priceTable[[#This Row],[Sold - Oct]]</f>
        <v>4</v>
      </c>
      <c r="I110">
        <v>5.75</v>
      </c>
      <c r="J110">
        <v>1</v>
      </c>
      <c r="K110" t="s">
        <v>5</v>
      </c>
      <c r="M110" s="32">
        <v>5</v>
      </c>
      <c r="N110">
        <f>IF(priceTable[[#This Row],[Start - Nov]]&gt;M110,0,M110-priceTable[[#This Row],[Start - Nov]])</f>
        <v>1</v>
      </c>
      <c r="O110" s="29">
        <f>(N110/priceTable[[#This Row],[Sold Units]])*priceTable[[#This Row],[Unit Cost]]</f>
        <v>5</v>
      </c>
      <c r="P110">
        <f>0+1</f>
        <v>1</v>
      </c>
      <c r="R110">
        <f>priceTable[[#This Row],[Start - Sep]]-P110</f>
        <v>5</v>
      </c>
      <c r="S110" s="29">
        <f>R110*priceTable[[#This Row],[Unit Cost]]</f>
        <v>25</v>
      </c>
      <c r="T110" s="29">
        <f>(R110/priceTable[[#This Row],[Sold Units]])*priceTable[[#This Row],[Member Price]]</f>
        <v>28.75</v>
      </c>
      <c r="U110" s="30">
        <f t="shared" si="1"/>
        <v>3.75</v>
      </c>
    </row>
    <row r="111" spans="1:21" x14ac:dyDescent="0.25">
      <c r="O111" s="29">
        <f>SUM(O2:O110)</f>
        <v>1766.7380000000001</v>
      </c>
    </row>
    <row r="112" spans="1:21" x14ac:dyDescent="0.25">
      <c r="S112" s="30">
        <f>SUM(S2:S111)</f>
        <v>2631.7999999999988</v>
      </c>
      <c r="T112" s="30">
        <f>SUM(T2:T111)</f>
        <v>2894.5199999999995</v>
      </c>
    </row>
  </sheetData>
  <sheetProtection sheet="1" objects="1" scenarios="1" selectLockedCells="1"/>
  <pageMargins left="0.7" right="0.7" top="0.75" bottom="0.75" header="0.3" footer="0.3"/>
  <pageSetup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Instructions</vt:lpstr>
      <vt:lpstr>Order Form (revised)</vt:lpstr>
      <vt:lpstr>priceSheet</vt:lpstr>
      <vt:lpstr>priceBook</vt:lpstr>
      <vt:lpstr>'Order Form (revised)'!Print_Area</vt:lpstr>
      <vt:lpstr>priceSheet!Print_Area</vt:lpstr>
      <vt:lpstr>priceSheet!Print_Titles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FrOsTbYtE</dc:creator>
  <cp:lastModifiedBy>Tammy Pearce</cp:lastModifiedBy>
  <cp:lastPrinted>2023-11-26T15:41:41Z</cp:lastPrinted>
  <dcterms:created xsi:type="dcterms:W3CDTF">2016-03-23T18:47:57Z</dcterms:created>
  <dcterms:modified xsi:type="dcterms:W3CDTF">2026-01-05T16:11:22Z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f9e3c372-3a58-421c-9f06-4ab6eb0a7314</vt:lpwstr>
  </property>
</Properties>
</file>